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Sean\Documents\BA\2017\IRIS Tax Checker\"/>
    </mc:Choice>
  </mc:AlternateContent>
  <workbookProtection workbookAlgorithmName="SHA-512" workbookHashValue="0qJoUku1C4RDf5egTwXIxM/Zrok6/Q1z0bmL66pEUxmlfKaEvPWtni7Vlqtf9pk/GA//L661ipajwpqmHEoVbg==" workbookSaltValue="pPvHxN+mG5Zmu0eKmguzEQ==" workbookSpinCount="100000" lockStructure="1"/>
  <bookViews>
    <workbookView xWindow="0" yWindow="0" windowWidth="22896" windowHeight="10836"/>
  </bookViews>
  <sheets>
    <sheet name="Tax Calculation" sheetId="1" r:id="rId1"/>
    <sheet name="Rates and Bands" sheetId="2" state="hidden" r:id="rId2"/>
    <sheet name="Initial calcs" sheetId="8" state="hidden" r:id="rId3"/>
    <sheet name="Stage 4" sheetId="7" state="hidden" r:id="rId4"/>
    <sheet name="Stage 5" sheetId="3" state="hidden" r:id="rId5"/>
    <sheet name="IRIS Stage 6" sheetId="4" state="hidden" r:id="rId6"/>
    <sheet name="HMRC Stage 6" sheetId="10" state="hidden" r:id="rId7"/>
    <sheet name="IRIS Stage 8" sheetId="9" state="hidden" r:id="rId8"/>
    <sheet name="HMRC Stage 8" sheetId="11" state="hidden" r:id="rId9"/>
  </sheets>
  <externalReferences>
    <externalReference r:id="rId10"/>
  </externalReferences>
  <definedNames>
    <definedName name="AA_excess">[1]data!$E$113</definedName>
    <definedName name="AHR_band">[1]data!$E$83</definedName>
    <definedName name="AHR_case_PSA">'Stage 4'!$M$107</definedName>
    <definedName name="AHR_rate">[1]data!$E$53</definedName>
    <definedName name="AOR">[1]AOR!$A$1</definedName>
    <definedName name="box_NRD1">[1]NRD!$Q$4</definedName>
    <definedName name="box_NRD15">[1]NRD!$Q$8</definedName>
    <definedName name="box_NRD16">[1]NRD!$Q$9</definedName>
    <definedName name="BPA">[1]data!$E$122</definedName>
    <definedName name="BPA_claimed">'[1]REL(2)'!$N$5</definedName>
    <definedName name="BR_band">[1]data!$E$80</definedName>
    <definedName name="BR_rate">[1]data!$E$51</definedName>
    <definedName name="CAL">[1]CAL!$A$1</definedName>
    <definedName name="CGT">[1]CGT!$A$1</definedName>
    <definedName name="Dedn_cap">[1]data!$E$125</definedName>
    <definedName name="Dedn_taper">[1]data!$E$126</definedName>
    <definedName name="DivAR_rate">[1]data!$E$64</definedName>
    <definedName name="DivBR_rate">[1]data!$E$62</definedName>
    <definedName name="DivHR_rate">[1]data!$E$63</definedName>
    <definedName name="DivNil_rate">[1]data!$E$61</definedName>
    <definedName name="DTA">[1]data!$E$117</definedName>
    <definedName name="FOR">[1]FOR!$A$1</definedName>
    <definedName name="FPS">[1]PS!$A$16</definedName>
    <definedName name="FSE">[1]SE!$A$9</definedName>
    <definedName name="gift_aid">[1]data!$I$53</definedName>
    <definedName name="gift_aid_F">[1]data!$J$53</definedName>
    <definedName name="HR_band">[1]data!$E$82</definedName>
    <definedName name="HR_case_PSA">'Stage 4'!$M$104</definedName>
    <definedName name="HR_rate">[1]data!$E$52</definedName>
    <definedName name="in_year_rept">'[1]Add pages'!$L$35</definedName>
    <definedName name="LUN">[1]LUN!$A$1</definedName>
    <definedName name="MA_transfer">'[1]REL(2)'!$N$26</definedName>
    <definedName name="MAT_OUT">'[1]REL(2)'!$N$30</definedName>
    <definedName name="non_resident">[1]NRD!$Q$6</definedName>
    <definedName name="P_A">[1]data!$E$108</definedName>
    <definedName name="PA_taper_limit">[1]data!$E$112</definedName>
    <definedName name="_xlnm.Print_Area" localSheetId="0">'Tax Calculation'!$H$2:$P$41</definedName>
    <definedName name="PRO">[1]PRO!$A$1</definedName>
    <definedName name="PSA">'[1]Deductions (c4)'!$M$305</definedName>
    <definedName name="PSA_AHR">[1]data!$E$116</definedName>
    <definedName name="PSA_BR">[1]data!$E$114</definedName>
    <definedName name="PSA_HR">[1]data!$E$115</definedName>
    <definedName name="REL">'[1]REL(1)'!$A$2</definedName>
    <definedName name="Residency_Status_in_UK">'[1]INC(1)'!$I$8</definedName>
    <definedName name="Resident">[1]NRD!$Q$5</definedName>
    <definedName name="SAHR_rate">[1]data!$E$56</definedName>
    <definedName name="savings_gross">[1]data!$I$46</definedName>
    <definedName name="savings_gross_F">[1]data!$J$46</definedName>
    <definedName name="SBR_band">[1]data!$E$79</definedName>
    <definedName name="SBR_rate">[1]data!$E$54</definedName>
    <definedName name="SHR_rate">[1]data!$E$55</definedName>
    <definedName name="SNil_rate">[1]data!$E$49</definedName>
    <definedName name="SPS">[1]PS!$A$1</definedName>
    <definedName name="SR_band">[1]data!$E$78</definedName>
    <definedName name="SR_rate">[1]data!$E$48</definedName>
    <definedName name="SSE">[1]SE!$A$1</definedName>
    <definedName name="T_P_A">[1]data!$E$118</definedName>
    <definedName name="TRU">[1]TRU!$A$1</definedName>
    <definedName name="UK_allowance_claim">[1]NRD!$Q$7</definedName>
    <definedName name="YPD">'[1]INC(1)'!$A$1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4" l="1"/>
  <c r="D32" i="8" l="1"/>
  <c r="D29" i="8"/>
  <c r="M112" i="7"/>
  <c r="I68" i="7"/>
  <c r="I58" i="7"/>
  <c r="I17" i="7"/>
  <c r="E14" i="7"/>
  <c r="G48" i="10"/>
  <c r="G21" i="10"/>
  <c r="O34" i="4" l="1"/>
  <c r="O34" i="10"/>
  <c r="G48" i="4"/>
  <c r="G78" i="11" l="1"/>
  <c r="G73" i="11"/>
  <c r="G65" i="11"/>
  <c r="C65" i="11"/>
  <c r="G62" i="11"/>
  <c r="C62" i="11"/>
  <c r="G59" i="11"/>
  <c r="C59" i="11"/>
  <c r="G56" i="11"/>
  <c r="C56" i="11"/>
  <c r="G51" i="11"/>
  <c r="C51" i="11"/>
  <c r="G48" i="11"/>
  <c r="C48" i="11"/>
  <c r="G45" i="11"/>
  <c r="C45" i="11"/>
  <c r="G42" i="11"/>
  <c r="C42" i="11"/>
  <c r="G39" i="11"/>
  <c r="C39" i="11"/>
  <c r="G34" i="11"/>
  <c r="C34" i="11"/>
  <c r="G25" i="11"/>
  <c r="C25" i="11"/>
  <c r="G16" i="11"/>
  <c r="C16" i="11"/>
  <c r="V55" i="10" l="1"/>
  <c r="R55" i="10"/>
  <c r="N55" i="10"/>
  <c r="J55" i="10"/>
  <c r="F55" i="10"/>
  <c r="V52" i="10"/>
  <c r="R52" i="10"/>
  <c r="N52" i="10"/>
  <c r="J52" i="10"/>
  <c r="F52" i="10"/>
  <c r="V48" i="10"/>
  <c r="R48" i="10"/>
  <c r="N48" i="10"/>
  <c r="J48" i="10"/>
  <c r="F48" i="10"/>
  <c r="V45" i="10"/>
  <c r="R45" i="10"/>
  <c r="N45" i="10"/>
  <c r="J45" i="10"/>
  <c r="F45" i="10"/>
  <c r="V42" i="10"/>
  <c r="R42" i="10"/>
  <c r="N42" i="10"/>
  <c r="J42" i="10"/>
  <c r="F42" i="10"/>
  <c r="V38" i="10"/>
  <c r="N38" i="10"/>
  <c r="J38" i="10"/>
  <c r="V34" i="10"/>
  <c r="N34" i="10"/>
  <c r="J34" i="10"/>
  <c r="V31" i="10"/>
  <c r="R31" i="10"/>
  <c r="N31" i="10"/>
  <c r="J31" i="10"/>
  <c r="F31" i="10"/>
  <c r="V27" i="10"/>
  <c r="R27" i="10"/>
  <c r="N27" i="10"/>
  <c r="J27" i="10"/>
  <c r="F27" i="10"/>
  <c r="V24" i="10"/>
  <c r="R24" i="10"/>
  <c r="N24" i="10"/>
  <c r="J24" i="10"/>
  <c r="F24" i="10"/>
  <c r="V21" i="10"/>
  <c r="R21" i="10"/>
  <c r="N21" i="10"/>
  <c r="J21" i="10"/>
  <c r="F21" i="10"/>
  <c r="V18" i="10"/>
  <c r="R18" i="10"/>
  <c r="N18" i="10"/>
  <c r="J18" i="10"/>
  <c r="F18" i="10"/>
  <c r="D6" i="10"/>
  <c r="G78" i="9"/>
  <c r="G73" i="9"/>
  <c r="G65" i="9"/>
  <c r="C65" i="9"/>
  <c r="G62" i="9"/>
  <c r="C62" i="9"/>
  <c r="G59" i="9"/>
  <c r="C59" i="9"/>
  <c r="G56" i="9"/>
  <c r="C56" i="9"/>
  <c r="G51" i="9"/>
  <c r="C51" i="9"/>
  <c r="G48" i="9"/>
  <c r="C48" i="9"/>
  <c r="G45" i="9"/>
  <c r="C45" i="9"/>
  <c r="G42" i="9"/>
  <c r="C42" i="9"/>
  <c r="G39" i="9"/>
  <c r="C39" i="9"/>
  <c r="G34" i="9"/>
  <c r="C34" i="9"/>
  <c r="G25" i="9"/>
  <c r="C25" i="9"/>
  <c r="G16" i="9"/>
  <c r="C16" i="9"/>
  <c r="V55" i="4"/>
  <c r="R55" i="4"/>
  <c r="N55" i="4"/>
  <c r="J55" i="4"/>
  <c r="F55" i="4"/>
  <c r="V52" i="4"/>
  <c r="R52" i="4"/>
  <c r="N52" i="4"/>
  <c r="J52" i="4"/>
  <c r="F52" i="4"/>
  <c r="V48" i="4"/>
  <c r="R48" i="4"/>
  <c r="N48" i="4"/>
  <c r="J48" i="4"/>
  <c r="F48" i="4"/>
  <c r="V45" i="4"/>
  <c r="R45" i="4"/>
  <c r="N45" i="4"/>
  <c r="J45" i="4"/>
  <c r="F45" i="4"/>
  <c r="V42" i="4"/>
  <c r="R42" i="4"/>
  <c r="N42" i="4"/>
  <c r="J42" i="4"/>
  <c r="F42" i="4"/>
  <c r="V38" i="4"/>
  <c r="N38" i="4"/>
  <c r="J38" i="4"/>
  <c r="V34" i="4"/>
  <c r="N34" i="4"/>
  <c r="J34" i="4"/>
  <c r="V31" i="4"/>
  <c r="R31" i="4"/>
  <c r="W30" i="4" s="1"/>
  <c r="N31" i="4"/>
  <c r="J31" i="4"/>
  <c r="F31" i="4"/>
  <c r="S30" i="4"/>
  <c r="K30" i="4"/>
  <c r="V27" i="4"/>
  <c r="R27" i="4"/>
  <c r="N27" i="4"/>
  <c r="J27" i="4"/>
  <c r="F27" i="4"/>
  <c r="S26" i="4"/>
  <c r="V24" i="4"/>
  <c r="R24" i="4"/>
  <c r="N24" i="4"/>
  <c r="J24" i="4"/>
  <c r="F24" i="4"/>
  <c r="V21" i="4"/>
  <c r="R21" i="4"/>
  <c r="N21" i="4"/>
  <c r="S20" i="4" s="1"/>
  <c r="J21" i="4"/>
  <c r="F21" i="4"/>
  <c r="O20" i="4"/>
  <c r="V18" i="4"/>
  <c r="W23" i="4" s="1"/>
  <c r="R18" i="4"/>
  <c r="S23" i="4" s="1"/>
  <c r="N18" i="4"/>
  <c r="O37" i="4" s="1"/>
  <c r="J18" i="4"/>
  <c r="K23" i="4" s="1"/>
  <c r="F18" i="4"/>
  <c r="O30" i="4" s="1"/>
  <c r="D6" i="4"/>
  <c r="AK128" i="3"/>
  <c r="E128" i="3"/>
  <c r="AL127" i="3" s="1"/>
  <c r="AK118" i="3"/>
  <c r="AC118" i="3"/>
  <c r="E118" i="3"/>
  <c r="AL117" i="3"/>
  <c r="AL114" i="3"/>
  <c r="AK113" i="3"/>
  <c r="AC113" i="3"/>
  <c r="AD117" i="3" s="1"/>
  <c r="E113" i="3"/>
  <c r="AL112" i="3" s="1"/>
  <c r="AD112" i="3"/>
  <c r="AK108" i="3"/>
  <c r="AC108" i="3"/>
  <c r="E108" i="3"/>
  <c r="AL107" i="3"/>
  <c r="AK102" i="3"/>
  <c r="AC102" i="3"/>
  <c r="AD107" i="3" s="1"/>
  <c r="E102" i="3"/>
  <c r="AL101" i="3"/>
  <c r="AL96" i="3"/>
  <c r="AK93" i="3"/>
  <c r="AC93" i="3"/>
  <c r="AD101" i="3" s="1"/>
  <c r="E93" i="3"/>
  <c r="AL87" i="3"/>
  <c r="AL86" i="3"/>
  <c r="AK85" i="3"/>
  <c r="AL104" i="3" s="1"/>
  <c r="AC85" i="3"/>
  <c r="AD92" i="3" s="1"/>
  <c r="Y85" i="3"/>
  <c r="Q85" i="3"/>
  <c r="Z70" i="3" s="1"/>
  <c r="I85" i="3"/>
  <c r="E85" i="3"/>
  <c r="AL84" i="3" s="1"/>
  <c r="R84" i="3"/>
  <c r="Q79" i="3"/>
  <c r="R78" i="3"/>
  <c r="Y75" i="3"/>
  <c r="M75" i="3"/>
  <c r="I75" i="3"/>
  <c r="Z83" i="3" s="1"/>
  <c r="Z74" i="3"/>
  <c r="AL73" i="3"/>
  <c r="AK72" i="3"/>
  <c r="AC72" i="3"/>
  <c r="Y72" i="3"/>
  <c r="M72" i="3"/>
  <c r="AD71" i="3" s="1"/>
  <c r="I72" i="3"/>
  <c r="E72" i="3"/>
  <c r="AL71" i="3"/>
  <c r="J71" i="3"/>
  <c r="Q68" i="3"/>
  <c r="R77" i="3" s="1"/>
  <c r="AL66" i="3"/>
  <c r="AL65" i="3"/>
  <c r="R65" i="3"/>
  <c r="AK64" i="3"/>
  <c r="AL119" i="3" s="1"/>
  <c r="AC64" i="3"/>
  <c r="AL63" i="3" s="1"/>
  <c r="Y64" i="3"/>
  <c r="AD63" i="3" s="1"/>
  <c r="M64" i="3"/>
  <c r="I64" i="3"/>
  <c r="E64" i="3"/>
  <c r="Q62" i="3"/>
  <c r="Q60" i="3"/>
  <c r="AL59" i="3"/>
  <c r="R59" i="3"/>
  <c r="AL58" i="3"/>
  <c r="Q58" i="3"/>
  <c r="R63" i="3" s="1"/>
  <c r="AK57" i="3"/>
  <c r="AC57" i="3"/>
  <c r="Y57" i="3"/>
  <c r="U57" i="3"/>
  <c r="R57" i="3"/>
  <c r="M57" i="3"/>
  <c r="N74" i="3" s="1"/>
  <c r="I57" i="3"/>
  <c r="J74" i="3" s="1"/>
  <c r="E57" i="3"/>
  <c r="AL56" i="3" s="1"/>
  <c r="V56" i="3"/>
  <c r="U55" i="3"/>
  <c r="V54" i="3"/>
  <c r="U53" i="3"/>
  <c r="V52" i="3"/>
  <c r="AO46" i="3"/>
  <c r="AK46" i="3"/>
  <c r="AG46" i="3"/>
  <c r="AC46" i="3"/>
  <c r="R64" i="3" s="1"/>
  <c r="Y46" i="3"/>
  <c r="R61" i="3" s="1"/>
  <c r="U46" i="3"/>
  <c r="Q46" i="3"/>
  <c r="Z84" i="3" s="1"/>
  <c r="I46" i="3"/>
  <c r="E46" i="3"/>
  <c r="AP45" i="3"/>
  <c r="AH45" i="3"/>
  <c r="Z45" i="3"/>
  <c r="AP44" i="3"/>
  <c r="AH44" i="3"/>
  <c r="AD44" i="3"/>
  <c r="Z44" i="3"/>
  <c r="AH43" i="3"/>
  <c r="U43" i="3"/>
  <c r="I42" i="3"/>
  <c r="AG40" i="3"/>
  <c r="AL45" i="3" s="1"/>
  <c r="U40" i="3"/>
  <c r="AD45" i="3" s="1"/>
  <c r="AO36" i="3"/>
  <c r="AC36" i="3"/>
  <c r="N71" i="3" s="1"/>
  <c r="Y36" i="3"/>
  <c r="Q36" i="3"/>
  <c r="Z71" i="3" s="1"/>
  <c r="I36" i="3"/>
  <c r="AP35" i="3" s="1"/>
  <c r="E36" i="3"/>
  <c r="I34" i="3"/>
  <c r="Y33" i="3"/>
  <c r="I31" i="3"/>
  <c r="J35" i="3" s="1"/>
  <c r="Y30" i="3"/>
  <c r="I29" i="3"/>
  <c r="AO24" i="3"/>
  <c r="AC24" i="3"/>
  <c r="N63" i="3" s="1"/>
  <c r="Q24" i="3"/>
  <c r="Z63" i="3" s="1"/>
  <c r="E24" i="3"/>
  <c r="AP23" i="3" s="1"/>
  <c r="F23" i="3"/>
  <c r="AO17" i="3"/>
  <c r="AC17" i="3"/>
  <c r="N56" i="3" s="1"/>
  <c r="Q17" i="3"/>
  <c r="E17" i="3"/>
  <c r="AP16" i="3"/>
  <c r="Q8" i="3"/>
  <c r="E8" i="3"/>
  <c r="Z69" i="3" s="1"/>
  <c r="D19" i="8"/>
  <c r="I34" i="7" s="1"/>
  <c r="D15" i="8"/>
  <c r="I38" i="7" s="1"/>
  <c r="D10" i="8"/>
  <c r="F102" i="3" s="1"/>
  <c r="D7" i="8"/>
  <c r="F108" i="3" s="1"/>
  <c r="D6" i="8"/>
  <c r="D3" i="8"/>
  <c r="F24" i="3" s="1"/>
  <c r="D2" i="8"/>
  <c r="F57" i="3" s="1"/>
  <c r="D13" i="8"/>
  <c r="I28" i="7" s="1"/>
  <c r="E8" i="7"/>
  <c r="Q20" i="7" s="1"/>
  <c r="E7" i="7"/>
  <c r="F72" i="3" l="1"/>
  <c r="F36" i="3"/>
  <c r="F128" i="3"/>
  <c r="F17" i="3"/>
  <c r="F64" i="3"/>
  <c r="F46" i="3"/>
  <c r="W37" i="4"/>
  <c r="G26" i="4"/>
  <c r="W26" i="4"/>
  <c r="O23" i="4"/>
  <c r="G23" i="4"/>
  <c r="K26" i="4"/>
  <c r="W33" i="4"/>
  <c r="O26" i="4"/>
  <c r="N62" i="3"/>
  <c r="R83" i="3"/>
  <c r="J56" i="3"/>
  <c r="Z56" i="3"/>
  <c r="J63" i="3"/>
  <c r="J70" i="3"/>
  <c r="Z82" i="3"/>
  <c r="AL92" i="3"/>
  <c r="AL95" i="3"/>
  <c r="R16" i="3"/>
  <c r="AP34" i="3"/>
  <c r="N55" i="3"/>
  <c r="AD56" i="3"/>
  <c r="N70" i="3"/>
  <c r="AD83" i="3"/>
  <c r="AD84" i="3"/>
  <c r="V51" i="3"/>
  <c r="R56" i="3"/>
  <c r="Z61" i="3"/>
  <c r="Z62" i="3"/>
  <c r="R67" i="3"/>
  <c r="D17" i="8"/>
  <c r="E81" i="7"/>
  <c r="D8" i="8"/>
  <c r="D4" i="8"/>
  <c r="E11" i="7" l="1"/>
  <c r="L112" i="7" l="1"/>
  <c r="L110" i="7"/>
  <c r="L107" i="7"/>
  <c r="B98" i="7"/>
  <c r="B96" i="7"/>
  <c r="B95" i="7"/>
  <c r="L93" i="7"/>
  <c r="L84" i="7"/>
  <c r="L81" i="7"/>
  <c r="D81" i="7"/>
  <c r="L78" i="7"/>
  <c r="L76" i="7"/>
  <c r="L71" i="7"/>
  <c r="M83" i="7"/>
  <c r="H38" i="7"/>
  <c r="D23" i="7"/>
  <c r="P20" i="7"/>
  <c r="L20" i="7"/>
  <c r="L17" i="7"/>
  <c r="M19" i="7" s="1"/>
  <c r="H17" i="7"/>
  <c r="D14" i="7"/>
  <c r="D11" i="7"/>
  <c r="J42" i="3" l="1"/>
  <c r="M16" i="7"/>
  <c r="B102" i="7"/>
  <c r="I41" i="7"/>
  <c r="R8" i="3" s="1"/>
  <c r="E22" i="7"/>
  <c r="M80" i="7"/>
  <c r="M17" i="7"/>
  <c r="M20" i="7" s="1"/>
  <c r="G31" i="10" l="1"/>
  <c r="M84" i="7"/>
  <c r="I44" i="7"/>
  <c r="E23" i="7"/>
  <c r="R17" i="3" l="1"/>
  <c r="AD17" i="3" l="1"/>
  <c r="AP17" i="3" s="1"/>
  <c r="R24" i="3"/>
  <c r="I49" i="7"/>
  <c r="D26" i="8" s="1"/>
  <c r="AD24" i="3" l="1"/>
  <c r="Z30" i="3" s="1"/>
  <c r="D31" i="8"/>
  <c r="D34" i="8" s="1"/>
  <c r="D36" i="8" s="1"/>
  <c r="I55" i="7" l="1"/>
  <c r="M62" i="7" s="1"/>
  <c r="AP24" i="3"/>
  <c r="M71" i="7" l="1"/>
  <c r="O20" i="1" l="1"/>
  <c r="J20" i="1"/>
  <c r="M76" i="7"/>
  <c r="F8" i="3" l="1"/>
  <c r="M78" i="7"/>
  <c r="M81" i="7"/>
  <c r="M107" i="7" l="1"/>
  <c r="M93" i="7"/>
  <c r="M104" i="7"/>
  <c r="AL128" i="3"/>
  <c r="J57" i="3"/>
  <c r="J64" i="3" s="1"/>
  <c r="M110" i="7" l="1"/>
  <c r="J29" i="3" l="1"/>
  <c r="J31" i="3" s="1"/>
  <c r="J34" i="3"/>
  <c r="K34" i="10"/>
  <c r="K34" i="4"/>
  <c r="J36" i="3" l="1"/>
  <c r="Z33" i="3" s="1"/>
  <c r="R36" i="3" l="1"/>
  <c r="J46" i="3" s="1"/>
  <c r="R46" i="3" s="1"/>
  <c r="Z36" i="3" l="1"/>
  <c r="AD36" i="3" s="1"/>
  <c r="V40" i="3" s="1"/>
  <c r="V43" i="3" s="1"/>
  <c r="V46" i="3" s="1"/>
  <c r="Z46" i="3" s="1"/>
  <c r="AD46" i="3" s="1"/>
  <c r="AH46" i="3" s="1"/>
  <c r="AP36" i="3" l="1"/>
  <c r="AH40" i="3" s="1"/>
  <c r="AL46" i="3" s="1"/>
  <c r="AP46" i="3" s="1"/>
  <c r="J85" i="3" s="1"/>
  <c r="J72" i="3" l="1"/>
  <c r="J75" i="3" s="1"/>
  <c r="N57" i="3" s="1"/>
  <c r="N64" i="3" s="1"/>
  <c r="N72" i="3" s="1"/>
  <c r="N75" i="3" l="1"/>
  <c r="R58" i="3" s="1"/>
  <c r="R60" i="3" s="1"/>
  <c r="R62" i="3" s="1"/>
  <c r="R68" i="3" s="1"/>
  <c r="R79" i="3" s="1"/>
  <c r="R85" i="3" s="1"/>
  <c r="V53" i="3" l="1"/>
  <c r="V55" i="3" s="1"/>
  <c r="V57" i="3" s="1"/>
  <c r="Z57" i="3" s="1"/>
  <c r="AD57" i="3" s="1"/>
  <c r="AL57" i="3" s="1"/>
  <c r="Z64" i="3" l="1"/>
  <c r="Z72" i="3" s="1"/>
  <c r="AD72" i="3" s="1"/>
  <c r="AL72" i="3" s="1"/>
  <c r="AD64" i="3" l="1"/>
  <c r="AL64" i="3" s="1"/>
  <c r="Z85" i="3"/>
  <c r="K18" i="4"/>
  <c r="K18" i="10"/>
  <c r="Z75" i="3"/>
  <c r="AD85" i="3" l="1"/>
  <c r="AL85" i="3" s="1"/>
  <c r="K21" i="4"/>
  <c r="AD93" i="3" l="1"/>
  <c r="AD102" i="3" s="1"/>
  <c r="K24" i="4"/>
  <c r="AL93" i="3" l="1"/>
  <c r="K38" i="4"/>
  <c r="O21" i="4"/>
  <c r="K27" i="4"/>
  <c r="AL102" i="3"/>
  <c r="O18" i="10" s="1"/>
  <c r="O38" i="10" s="1"/>
  <c r="AD108" i="3"/>
  <c r="D56" i="11" l="1"/>
  <c r="H56" i="11" s="1"/>
  <c r="W34" i="4"/>
  <c r="AD113" i="3"/>
  <c r="AL108" i="3"/>
  <c r="O18" i="4"/>
  <c r="O38" i="4" s="1"/>
  <c r="W18" i="10" l="1"/>
  <c r="W18" i="4"/>
  <c r="AD118" i="3"/>
  <c r="AL118" i="3" s="1"/>
  <c r="AL113" i="3"/>
  <c r="D56" i="9"/>
  <c r="H56" i="9" s="1"/>
  <c r="O24" i="4"/>
  <c r="N35" i="1"/>
  <c r="O35" i="1"/>
  <c r="O27" i="4" l="1"/>
  <c r="S21" i="4"/>
  <c r="S18" i="10"/>
  <c r="S18" i="4"/>
  <c r="I35" i="1"/>
  <c r="J35" i="1"/>
  <c r="W38" i="4"/>
  <c r="D42" i="9" s="1"/>
  <c r="H42" i="9" s="1"/>
  <c r="G18" i="4"/>
  <c r="O31" i="4" s="1"/>
  <c r="G18" i="10"/>
  <c r="O31" i="10" s="1"/>
  <c r="S24" i="4" l="1"/>
  <c r="S27" i="4" s="1"/>
  <c r="G24" i="10"/>
  <c r="G27" i="10" s="1"/>
  <c r="G24" i="4"/>
  <c r="W21" i="4" s="1"/>
  <c r="I29" i="1"/>
  <c r="J29" i="1"/>
  <c r="G27" i="4" l="1"/>
  <c r="G42" i="4" s="1"/>
  <c r="W24" i="4"/>
  <c r="G42" i="10"/>
  <c r="K31" i="10" s="1"/>
  <c r="O42" i="4"/>
  <c r="S31" i="4" s="1"/>
  <c r="O42" i="10"/>
  <c r="K21" i="10"/>
  <c r="K24" i="10" s="1"/>
  <c r="K38" i="10" s="1"/>
  <c r="K31" i="4" l="1"/>
  <c r="K42" i="4" s="1"/>
  <c r="K45" i="4" s="1"/>
  <c r="D39" i="9"/>
  <c r="W27" i="4"/>
  <c r="G45" i="10"/>
  <c r="G52" i="10" s="1"/>
  <c r="G45" i="4"/>
  <c r="G52" i="4" s="1"/>
  <c r="S42" i="4"/>
  <c r="W31" i="4" s="1"/>
  <c r="D59" i="11"/>
  <c r="H59" i="11" s="1"/>
  <c r="O45" i="10"/>
  <c r="S31" i="10"/>
  <c r="O21" i="10"/>
  <c r="K27" i="10"/>
  <c r="W34" i="10"/>
  <c r="W38" i="10" s="1"/>
  <c r="D42" i="11" s="1"/>
  <c r="H42" i="11" s="1"/>
  <c r="D59" i="9"/>
  <c r="H59" i="9" s="1"/>
  <c r="O45" i="4"/>
  <c r="W42" i="4" l="1"/>
  <c r="W45" i="4" s="1"/>
  <c r="H39" i="9"/>
  <c r="J28" i="1" s="1"/>
  <c r="I28" i="1"/>
  <c r="G55" i="10"/>
  <c r="K48" i="4"/>
  <c r="O24" i="10"/>
  <c r="O27" i="10" s="1"/>
  <c r="O36" i="1"/>
  <c r="N36" i="1"/>
  <c r="I36" i="1"/>
  <c r="J36" i="1"/>
  <c r="O29" i="1"/>
  <c r="N29" i="1"/>
  <c r="D45" i="9"/>
  <c r="H45" i="9" s="1"/>
  <c r="G55" i="4"/>
  <c r="K42" i="10"/>
  <c r="K45" i="10" s="1"/>
  <c r="K48" i="10"/>
  <c r="S45" i="4"/>
  <c r="D16" i="9"/>
  <c r="H16" i="9" s="1"/>
  <c r="I30" i="1" l="1"/>
  <c r="J30" i="1"/>
  <c r="K52" i="4"/>
  <c r="K55" i="4" s="1"/>
  <c r="I23" i="1"/>
  <c r="J23" i="1"/>
  <c r="K52" i="10"/>
  <c r="S21" i="10"/>
  <c r="O48" i="4" l="1"/>
  <c r="O52" i="4" s="1"/>
  <c r="S48" i="4" s="1"/>
  <c r="O48" i="10"/>
  <c r="S24" i="10"/>
  <c r="W21" i="10" s="1"/>
  <c r="W24" i="10" s="1"/>
  <c r="K55" i="10"/>
  <c r="D62" i="9" l="1"/>
  <c r="H62" i="9" s="1"/>
  <c r="O55" i="4"/>
  <c r="D65" i="9" s="1"/>
  <c r="H65" i="9" s="1"/>
  <c r="W27" i="10"/>
  <c r="D39" i="11"/>
  <c r="H39" i="11" s="1"/>
  <c r="S52" i="4"/>
  <c r="W48" i="4" s="1"/>
  <c r="W52" i="4" s="1"/>
  <c r="S27" i="10"/>
  <c r="S42" i="10" s="1"/>
  <c r="D16" i="11" s="1"/>
  <c r="H16" i="11" s="1"/>
  <c r="O52" i="10"/>
  <c r="S48" i="10" s="1"/>
  <c r="N23" i="1" l="1"/>
  <c r="N28" i="1"/>
  <c r="O28" i="1"/>
  <c r="S45" i="10"/>
  <c r="S52" i="10" s="1"/>
  <c r="D25" i="11" s="1"/>
  <c r="H25" i="11" s="1"/>
  <c r="W31" i="10"/>
  <c r="W42" i="10" s="1"/>
  <c r="I38" i="1"/>
  <c r="J38" i="1"/>
  <c r="D48" i="9"/>
  <c r="H48" i="9" s="1"/>
  <c r="W55" i="4"/>
  <c r="D51" i="9" s="1"/>
  <c r="H51" i="9" s="1"/>
  <c r="D62" i="11"/>
  <c r="H62" i="11" s="1"/>
  <c r="O55" i="10"/>
  <c r="D65" i="11" s="1"/>
  <c r="H65" i="11" s="1"/>
  <c r="D25" i="9"/>
  <c r="H25" i="9" s="1"/>
  <c r="S55" i="4"/>
  <c r="D34" i="9" s="1"/>
  <c r="H34" i="9" s="1"/>
  <c r="I37" i="1"/>
  <c r="J37" i="1"/>
  <c r="W48" i="10" l="1"/>
  <c r="D45" i="11"/>
  <c r="H45" i="11" s="1"/>
  <c r="W45" i="10"/>
  <c r="N37" i="1"/>
  <c r="O37" i="1"/>
  <c r="N24" i="1"/>
  <c r="O24" i="1"/>
  <c r="O23" i="1"/>
  <c r="N38" i="1"/>
  <c r="O38" i="1"/>
  <c r="I25" i="1"/>
  <c r="D94" i="9"/>
  <c r="J25" i="1"/>
  <c r="I32" i="1"/>
  <c r="J32" i="1"/>
  <c r="I24" i="1"/>
  <c r="D87" i="9"/>
  <c r="I31" i="1"/>
  <c r="J31" i="1"/>
  <c r="S55" i="10"/>
  <c r="D34" i="11" s="1"/>
  <c r="H34" i="11" s="1"/>
  <c r="W52" i="10" l="1"/>
  <c r="D48" i="11" s="1"/>
  <c r="N25" i="1"/>
  <c r="J24" i="1"/>
  <c r="H78" i="9"/>
  <c r="J40" i="1" s="1"/>
  <c r="O30" i="1"/>
  <c r="N30" i="1"/>
  <c r="D87" i="11" l="1"/>
  <c r="H48" i="11"/>
  <c r="O31" i="1" s="1"/>
  <c r="N31" i="1"/>
  <c r="W55" i="10"/>
  <c r="D51" i="11" s="1"/>
  <c r="O25" i="1"/>
  <c r="N32" i="1" l="1"/>
  <c r="H51" i="11"/>
  <c r="O32" i="1" s="1"/>
  <c r="D94" i="11"/>
  <c r="H78" i="11" l="1"/>
  <c r="O40" i="1" s="1"/>
  <c r="I42" i="1" s="1"/>
</calcChain>
</file>

<file path=xl/sharedStrings.xml><?xml version="1.0" encoding="utf-8"?>
<sst xmlns="http://schemas.openxmlformats.org/spreadsheetml/2006/main" count="864" uniqueCount="614">
  <si>
    <t>Non-Savings Income</t>
  </si>
  <si>
    <t>Savings Income</t>
  </si>
  <si>
    <t>Dividends</t>
  </si>
  <si>
    <t>Gains on Life Insurance Policies</t>
  </si>
  <si>
    <t>Pension Lump Sums</t>
  </si>
  <si>
    <t xml:space="preserve">Tax rates </t>
  </si>
  <si>
    <t>Employees' rate between threshold and upper earnings limit</t>
  </si>
  <si>
    <t>NIC1_rate</t>
  </si>
  <si>
    <t>Class 4 rate between lower profits limit and upper profits limit</t>
  </si>
  <si>
    <t>NIC_rate</t>
  </si>
  <si>
    <t>Class 4 rate above upper profits limit</t>
  </si>
  <si>
    <t>NIC_supp_rate</t>
  </si>
  <si>
    <t>Student Loan deduction rate</t>
  </si>
  <si>
    <t>Sloan_rate</t>
  </si>
  <si>
    <t>Starting rate for savings</t>
  </si>
  <si>
    <t>SR_rate</t>
  </si>
  <si>
    <t>Savings Nil rate</t>
  </si>
  <si>
    <t>SNil_rate</t>
  </si>
  <si>
    <t>Old Basic Rate</t>
  </si>
  <si>
    <t>OLD_BR</t>
  </si>
  <si>
    <t>Basic rate UK rate for England, Wales and Northern Ireland</t>
  </si>
  <si>
    <t>BR_rate</t>
  </si>
  <si>
    <t>Higher rate UK rate for England, Wales and Northern Ireland</t>
  </si>
  <si>
    <t>HR_rate</t>
  </si>
  <si>
    <t>Additional Rate UK rate for England, Wales and Northern Ireland</t>
  </si>
  <si>
    <t>AHR_rate</t>
  </si>
  <si>
    <t>Basic rate UK rate for Scotland</t>
  </si>
  <si>
    <t>SBR_rate</t>
  </si>
  <si>
    <t>Higher rate UK rate  for Scotland</t>
  </si>
  <si>
    <t>SHR_rate</t>
  </si>
  <si>
    <t>Additional Rate UK rate for Scotland</t>
  </si>
  <si>
    <t>SAHR_rate</t>
  </si>
  <si>
    <t>Service Benefit Rate (Minister of Religion)</t>
  </si>
  <si>
    <t>SB_rate</t>
  </si>
  <si>
    <t>Lower Dividend rate</t>
  </si>
  <si>
    <t>Ldiv_rate</t>
  </si>
  <si>
    <t>Higher Dividend rate</t>
  </si>
  <si>
    <t>Hdiv_rate</t>
  </si>
  <si>
    <t>Additional Dividend rate</t>
  </si>
  <si>
    <t>AHdiv_rate</t>
  </si>
  <si>
    <t>Dividend Nil rate</t>
  </si>
  <si>
    <t>DivNil_rate</t>
  </si>
  <si>
    <t>Dividend Investment rate</t>
  </si>
  <si>
    <t>DivBR_rate</t>
  </si>
  <si>
    <t>Dividend Higher rate</t>
  </si>
  <si>
    <t>DivHR_rate</t>
  </si>
  <si>
    <t>Dividend Additional rate</t>
  </si>
  <si>
    <t>DivAR_rate</t>
  </si>
  <si>
    <t>Venture Capital Trust shares rate</t>
  </si>
  <si>
    <t>VCT_rate</t>
  </si>
  <si>
    <t>Enterprise Investment Scheme rate</t>
  </si>
  <si>
    <t>EIS_rate</t>
  </si>
  <si>
    <t>Seed Enterprise Investment Scheme Relief rate</t>
  </si>
  <si>
    <t>SEIS_rate</t>
  </si>
  <si>
    <t>Community Investment Tax Relief rate</t>
  </si>
  <si>
    <t>CITR_rate</t>
  </si>
  <si>
    <t xml:space="preserve">Social Investment Tax Relief rate </t>
  </si>
  <si>
    <t xml:space="preserve">SITR_rate </t>
  </si>
  <si>
    <t>Reducing Allowances rate for MCA, Alimony etc</t>
  </si>
  <si>
    <t>A_rate</t>
  </si>
  <si>
    <t>Capital Gains Entrepreneurs rate</t>
  </si>
  <si>
    <t>ER_CGT_rate</t>
  </si>
  <si>
    <t>Capital Gains Lower rate</t>
  </si>
  <si>
    <t>lower_CGT_rate</t>
  </si>
  <si>
    <t>Capital Gains Higher rate</t>
  </si>
  <si>
    <t>upper_CGT_rate</t>
  </si>
  <si>
    <t>Capital Gains Lower rate Residential Property &amp; Carried Interest</t>
  </si>
  <si>
    <t>lower_CGT_rate_RP_CI</t>
  </si>
  <si>
    <t>Capital Gains Higher rate Residential Property &amp; Carried Interest</t>
  </si>
  <si>
    <t>upper_CGT_rate_RP_CI</t>
  </si>
  <si>
    <t>Rate bands</t>
  </si>
  <si>
    <t>Savings Starting rate band</t>
  </si>
  <si>
    <t>SR_band</t>
  </si>
  <si>
    <t>Band between Savings rate &amp; Basic rate</t>
  </si>
  <si>
    <t>SBR_band</t>
  </si>
  <si>
    <t>Basic rate band</t>
  </si>
  <si>
    <t>BR_band</t>
  </si>
  <si>
    <t>Higher rate threshold</t>
  </si>
  <si>
    <t>HR_threshold</t>
  </si>
  <si>
    <t>Band between Basic Rate &amp; Higher rate</t>
  </si>
  <si>
    <t>HR_band</t>
  </si>
  <si>
    <t>Additional rate band</t>
  </si>
  <si>
    <t>AHR_band</t>
  </si>
  <si>
    <t>Class 2 amount, per week</t>
  </si>
  <si>
    <t>NIC2_weekamt</t>
  </si>
  <si>
    <t>Class 2 annual limit</t>
  </si>
  <si>
    <t>NIC2_annual_limit</t>
  </si>
  <si>
    <t>Class 2 amount, per week for Share fishermen</t>
  </si>
  <si>
    <t>NIC2SF_weekamt</t>
  </si>
  <si>
    <t>Class 2 annual limit for Share fishermen</t>
  </si>
  <si>
    <t>NIC2SF_annual_limit</t>
  </si>
  <si>
    <t>Class 2 NIC small profit theshhold</t>
  </si>
  <si>
    <t>NIC2_SPT</t>
  </si>
  <si>
    <t>Class 4 NIC upper profit limit</t>
  </si>
  <si>
    <t>NIC_UEL</t>
  </si>
  <si>
    <t>Class 4 NIC lower profit limit</t>
  </si>
  <si>
    <t>NIC_LEL</t>
  </si>
  <si>
    <t>NIC rate band</t>
  </si>
  <si>
    <t>NIC_Band</t>
  </si>
  <si>
    <t>Max Class 4 NIC charge</t>
  </si>
  <si>
    <t>max_NIC</t>
  </si>
  <si>
    <t>Student Loan Threshold Plan 1</t>
  </si>
  <si>
    <t>SL_limit1</t>
  </si>
  <si>
    <t>Student Loan Threshold Plan 2</t>
  </si>
  <si>
    <t>SL_limit2</t>
  </si>
  <si>
    <t>Student Loan Unearned Income Threshold</t>
  </si>
  <si>
    <t>SL_UIT</t>
  </si>
  <si>
    <t>Misc</t>
  </si>
  <si>
    <t>POA threshold</t>
  </si>
  <si>
    <t>POA_limit</t>
  </si>
  <si>
    <t>Resident Non-domicile Lower charge</t>
  </si>
  <si>
    <t>Res_non_dom_Lower_ ch</t>
  </si>
  <si>
    <t>Resident Non-domicile Higher charge</t>
  </si>
  <si>
    <t>Res_non_dom_Higher_ch</t>
  </si>
  <si>
    <t>Resident Non-domicile Additional charge</t>
  </si>
  <si>
    <t>RBC_Additional_ch</t>
  </si>
  <si>
    <t>Non-domicile remittance basis allowance limit</t>
  </si>
  <si>
    <t>ND_limit</t>
  </si>
  <si>
    <t>coded out limit</t>
  </si>
  <si>
    <t>coded_out_limit</t>
  </si>
  <si>
    <t>Child Benefit Higher Rate Threshold</t>
  </si>
  <si>
    <t>CBC_HR_threshold</t>
  </si>
  <si>
    <t xml:space="preserve">Child Benefit Taper </t>
  </si>
  <si>
    <t>CBC_taper</t>
  </si>
  <si>
    <t>Allowances</t>
  </si>
  <si>
    <t>Personal Allowance</t>
  </si>
  <si>
    <t>P_A</t>
  </si>
  <si>
    <t>Lower Age Allowance</t>
  </si>
  <si>
    <t>L_AA</t>
  </si>
  <si>
    <t>Higher Age Allowance</t>
  </si>
  <si>
    <t>H_AA</t>
  </si>
  <si>
    <t>Age Allowance Income limit</t>
  </si>
  <si>
    <t>AA_limit</t>
  </si>
  <si>
    <t>Tapered PA limit</t>
  </si>
  <si>
    <t>PA_taper_limit</t>
  </si>
  <si>
    <t>Age Allowance Income limit excess</t>
  </si>
  <si>
    <t>AA_excess</t>
  </si>
  <si>
    <t>Personal Savings Allowance Basic Rate</t>
  </si>
  <si>
    <t>PSA_BR</t>
  </si>
  <si>
    <t>Personal Savings Allowance Higher Rate</t>
  </si>
  <si>
    <t>PSA_HR</t>
  </si>
  <si>
    <t>Personal Savings Allowance Additional Higher Rate</t>
  </si>
  <si>
    <t>PSA_AHR</t>
  </si>
  <si>
    <t>Dividend Allowance</t>
  </si>
  <si>
    <t>DA</t>
  </si>
  <si>
    <t>Transferable personal allowance</t>
  </si>
  <si>
    <t>T_P_A</t>
  </si>
  <si>
    <t>Minimum MCA</t>
  </si>
  <si>
    <t>MCA</t>
  </si>
  <si>
    <t>Half MCA</t>
  </si>
  <si>
    <t>MCA_2</t>
  </si>
  <si>
    <t>Higher MCA</t>
  </si>
  <si>
    <t>H_MCA</t>
  </si>
  <si>
    <t>Blind Person's Allowance</t>
  </si>
  <si>
    <t>BPA</t>
  </si>
  <si>
    <t>Maintenance &amp; Alimony</t>
  </si>
  <si>
    <t>SMP</t>
  </si>
  <si>
    <t>Capital Gains annual exempt amount</t>
  </si>
  <si>
    <t>CG_exempt</t>
  </si>
  <si>
    <t>Deductions Cap</t>
  </si>
  <si>
    <t>Dedn_cap</t>
  </si>
  <si>
    <t>Deductions taper</t>
  </si>
  <si>
    <t>Dedn_taper</t>
  </si>
  <si>
    <t>Grossing up factors</t>
  </si>
  <si>
    <t>D</t>
  </si>
  <si>
    <t>F</t>
  </si>
  <si>
    <t>*100/</t>
  </si>
  <si>
    <t>P</t>
  </si>
  <si>
    <t>Dividend net to gross factor</t>
  </si>
  <si>
    <t>divs_gross</t>
  </si>
  <si>
    <t>100/92.5</t>
  </si>
  <si>
    <t>Savings net to gross factor</t>
  </si>
  <si>
    <t>savings_gross</t>
  </si>
  <si>
    <t>100/80</t>
  </si>
  <si>
    <t>Non-savings net to gross factor</t>
  </si>
  <si>
    <t>NS_gross</t>
  </si>
  <si>
    <t>Higher rate net to gross factor</t>
  </si>
  <si>
    <t>HR_gross</t>
  </si>
  <si>
    <t>100/60</t>
  </si>
  <si>
    <t>Higher dividend rate net to gross factor</t>
  </si>
  <si>
    <t>HDR_gross</t>
  </si>
  <si>
    <t>100/67.5</t>
  </si>
  <si>
    <t>Non-savings net to gross old factor</t>
  </si>
  <si>
    <t>Gross_By_22</t>
  </si>
  <si>
    <t>100/78</t>
  </si>
  <si>
    <t>Trust rate net to gross factor</t>
  </si>
  <si>
    <t>trust_gross</t>
  </si>
  <si>
    <t>100/55</t>
  </si>
  <si>
    <t>Trust dividend rate net to gross factor</t>
  </si>
  <si>
    <t>trust_div_gross</t>
  </si>
  <si>
    <t>100/61.9</t>
  </si>
  <si>
    <t>Gift aid</t>
  </si>
  <si>
    <t>gift_aid</t>
  </si>
  <si>
    <t>Calculate income tax reliefs and allowances</t>
  </si>
  <si>
    <t>25% of adjusted total income</t>
  </si>
  <si>
    <t>c4.1</t>
  </si>
  <si>
    <t>£up</t>
  </si>
  <si>
    <t>c4.2</t>
  </si>
  <si>
    <t>c4.3</t>
  </si>
  <si>
    <t>else</t>
  </si>
  <si>
    <t>end if</t>
  </si>
  <si>
    <t>c4.4</t>
  </si>
  <si>
    <t>c4.5</t>
  </si>
  <si>
    <t>c4.6</t>
  </si>
  <si>
    <t>c4.7</t>
  </si>
  <si>
    <t>c4.8</t>
  </si>
  <si>
    <t>c4.9</t>
  </si>
  <si>
    <t>c4.10</t>
  </si>
  <si>
    <t>c4.11</t>
  </si>
  <si>
    <t>c4.12</t>
  </si>
  <si>
    <t>c4.13</t>
  </si>
  <si>
    <t>c4.14</t>
  </si>
  <si>
    <t>c4.15</t>
  </si>
  <si>
    <t>c4.16</t>
  </si>
  <si>
    <t>c4.17</t>
  </si>
  <si>
    <t>c4.18</t>
  </si>
  <si>
    <t>c4.19</t>
  </si>
  <si>
    <t>c4.20</t>
  </si>
  <si>
    <t>c4.21</t>
  </si>
  <si>
    <t>c4.22</t>
  </si>
  <si>
    <t>c4.23</t>
  </si>
  <si>
    <t>c4.24</t>
  </si>
  <si>
    <t>c4.25</t>
  </si>
  <si>
    <t>c4.26</t>
  </si>
  <si>
    <t>c4.27</t>
  </si>
  <si>
    <t>c4.28</t>
  </si>
  <si>
    <t>c4.29</t>
  </si>
  <si>
    <t>c4.30</t>
  </si>
  <si>
    <t>c4.31</t>
  </si>
  <si>
    <t>c4.32</t>
  </si>
  <si>
    <t>c4.33</t>
  </si>
  <si>
    <t>c4.34</t>
  </si>
  <si>
    <t>c4.35</t>
  </si>
  <si>
    <t>c4.36</t>
  </si>
  <si>
    <t>c4.37</t>
  </si>
  <si>
    <t>c4.38</t>
  </si>
  <si>
    <t>c4.39</t>
  </si>
  <si>
    <t>Relief amount limited to £50,000, or if more,</t>
  </si>
  <si>
    <t>c4.40</t>
  </si>
  <si>
    <t>Adjusted Total Income</t>
  </si>
  <si>
    <t>used for calculating the limit on Relief</t>
  </si>
  <si>
    <t>c4.41</t>
  </si>
  <si>
    <t>c4.42</t>
  </si>
  <si>
    <t>larger of</t>
  </si>
  <si>
    <t>Limit on Relief</t>
  </si>
  <si>
    <t>Deduction Cap</t>
  </si>
  <si>
    <t>c4.43</t>
  </si>
  <si>
    <t>c4.44</t>
  </si>
  <si>
    <t>Capped Relief Limit</t>
  </si>
  <si>
    <t>c4.45</t>
  </si>
  <si>
    <t>Uncapped Relief</t>
  </si>
  <si>
    <t>c4.46</t>
  </si>
  <si>
    <t>Total allowable relief</t>
  </si>
  <si>
    <t>c4.47</t>
  </si>
  <si>
    <t>c4.49</t>
  </si>
  <si>
    <t>c4.50</t>
  </si>
  <si>
    <t>c4.51</t>
  </si>
  <si>
    <t>c4.52</t>
  </si>
  <si>
    <t>c4.53</t>
  </si>
  <si>
    <t>c4.54</t>
  </si>
  <si>
    <t>Net Income</t>
  </si>
  <si>
    <t>c4.55</t>
  </si>
  <si>
    <t>used for calculating the election to transfer personal allowance</t>
  </si>
  <si>
    <t>Deduct</t>
  </si>
  <si>
    <t>Gift Aid</t>
  </si>
  <si>
    <t>c4.56</t>
  </si>
  <si>
    <t>c4.57</t>
  </si>
  <si>
    <t>Pension payments made net (grossed up)</t>
  </si>
  <si>
    <t>c4.58</t>
  </si>
  <si>
    <t>Amount for Extending Basic Rate Band</t>
  </si>
  <si>
    <t>c4.59</t>
  </si>
  <si>
    <t>c4.60</t>
  </si>
  <si>
    <t>Total deductions and additions</t>
  </si>
  <si>
    <t>Adjusted Net Income</t>
  </si>
  <si>
    <t>Personal allowances</t>
  </si>
  <si>
    <t>Personal allowance</t>
  </si>
  <si>
    <t>c4.65</t>
  </si>
  <si>
    <t>c4.66</t>
  </si>
  <si>
    <t>Total Allowances</t>
  </si>
  <si>
    <t>Election to reduce personal allowance (Marriage Allowance transfer)</t>
  </si>
  <si>
    <t>c4.68 = 0 (zero)</t>
  </si>
  <si>
    <t>Marriage Allowance transferred out</t>
  </si>
  <si>
    <t>Reduced Personal Allowance</t>
  </si>
  <si>
    <t>c4.69</t>
  </si>
  <si>
    <t>Total Deductions and Allowances</t>
  </si>
  <si>
    <t>c4.70</t>
  </si>
  <si>
    <t>c4.71</t>
  </si>
  <si>
    <t>c4.72</t>
  </si>
  <si>
    <t>End if</t>
  </si>
  <si>
    <t>Total income</t>
  </si>
  <si>
    <t>c4.73</t>
  </si>
  <si>
    <t>Total taxable income</t>
  </si>
  <si>
    <t>c4.74</t>
  </si>
  <si>
    <t>c4.75</t>
  </si>
  <si>
    <t>Election to reduce the personal allowance or entitlement to receive a tax reduction (Marriage Allowance transfer)</t>
  </si>
  <si>
    <t>Calculate if, after the personal allowance is reduced or tax reduction recieved, you are liable to tax at a rate other than the</t>
  </si>
  <si>
    <t>basic rate, the dividend nil rate, the savings nil rate, the dividend ordinary rate or the starting rate for savings</t>
  </si>
  <si>
    <t>Where you are liable to tax at the dividend nil rate, and if the dividend nil rate were omitted would you be liable to tax at</t>
  </si>
  <si>
    <t>the dividend upper rate or additional rate? If yes, the transfer is invalid.</t>
  </si>
  <si>
    <t>Where you are liable to tax at the savings nil rate the savings nil rate applies.</t>
  </si>
  <si>
    <t>HR Case</t>
  </si>
  <si>
    <t>HR_case for MAT</t>
  </si>
  <si>
    <t>c4.76</t>
  </si>
  <si>
    <t>Personal savings allowance</t>
  </si>
  <si>
    <t>HR_case for PSA</t>
  </si>
  <si>
    <t>AHR Case</t>
  </si>
  <si>
    <t>AHR_case for PSA</t>
  </si>
  <si>
    <t>c4.78</t>
  </si>
  <si>
    <t>Personal Savings Allowance</t>
  </si>
  <si>
    <t>c4.79</t>
  </si>
  <si>
    <t>c4.80</t>
  </si>
  <si>
    <t>c4.81</t>
  </si>
  <si>
    <t>c4.82</t>
  </si>
  <si>
    <t>c4.83</t>
  </si>
  <si>
    <t>c4.84</t>
  </si>
  <si>
    <r>
      <t xml:space="preserve">Adjusted Total Income </t>
    </r>
    <r>
      <rPr>
        <i/>
        <sz val="9"/>
        <rFont val="Arial"/>
        <family val="2"/>
      </rPr>
      <t>minus</t>
    </r>
    <r>
      <rPr>
        <sz val="9"/>
        <rFont val="Arial"/>
        <family val="2"/>
      </rPr>
      <t xml:space="preserve"> Reliefs</t>
    </r>
  </si>
  <si>
    <t>Total Income</t>
  </si>
  <si>
    <t>Non-Savings</t>
  </si>
  <si>
    <t>Savings</t>
  </si>
  <si>
    <t>Loss relief (subject to capping)</t>
  </si>
  <si>
    <t>Loss relief (not subject to capping)</t>
  </si>
  <si>
    <t>Lump Sums</t>
  </si>
  <si>
    <t>Non Savings</t>
  </si>
  <si>
    <t>Stage 1</t>
  </si>
  <si>
    <t>Stage 2</t>
  </si>
  <si>
    <t>Life Policies</t>
  </si>
  <si>
    <t>Total</t>
  </si>
  <si>
    <t>Stage 3</t>
  </si>
  <si>
    <t>Total pension payments</t>
  </si>
  <si>
    <t>Gross Pension payments</t>
  </si>
  <si>
    <t>Adjusted income for relief cap</t>
  </si>
  <si>
    <t>Total Gift Aid</t>
  </si>
  <si>
    <t>Gross Gift aid payments</t>
  </si>
  <si>
    <t>If any box on this page is minus substitute zero</t>
  </si>
  <si>
    <t>Adjusted Net Income for Allowances</t>
  </si>
  <si>
    <t>Income Limit for Personal Allowance</t>
  </si>
  <si>
    <t>Personal Allowance/Reduced Personal Allowance</t>
  </si>
  <si>
    <t>Marriage allowance</t>
  </si>
  <si>
    <t>Not Claimed</t>
  </si>
  <si>
    <t>Not Applicable</t>
  </si>
  <si>
    <t>c5.1</t>
  </si>
  <si>
    <t>Calculate taxable income</t>
  </si>
  <si>
    <t>c5.2</t>
  </si>
  <si>
    <t>Step 1</t>
  </si>
  <si>
    <t>c5.3</t>
  </si>
  <si>
    <t>c5.4</t>
  </si>
  <si>
    <t>c5.5</t>
  </si>
  <si>
    <t>c5.6</t>
  </si>
  <si>
    <t>c5.7</t>
  </si>
  <si>
    <t>c5.8</t>
  </si>
  <si>
    <t>Total allowances and deductions</t>
  </si>
  <si>
    <t>Extended basic rate band</t>
  </si>
  <si>
    <t>c5.9</t>
  </si>
  <si>
    <t>c5.10</t>
  </si>
  <si>
    <t>c5.11</t>
  </si>
  <si>
    <t>c5.12</t>
  </si>
  <si>
    <t>c5.13</t>
  </si>
  <si>
    <t>c5.14</t>
  </si>
  <si>
    <t>c5.15</t>
  </si>
  <si>
    <t>c5.16</t>
  </si>
  <si>
    <t>c5.17</t>
  </si>
  <si>
    <t>Non-savings income</t>
  </si>
  <si>
    <t>c5.18</t>
  </si>
  <si>
    <t>c5.19</t>
  </si>
  <si>
    <t>c5.20</t>
  </si>
  <si>
    <t>c5.21</t>
  </si>
  <si>
    <t>c5.22</t>
  </si>
  <si>
    <t>c5.23</t>
  </si>
  <si>
    <t>c5.24</t>
  </si>
  <si>
    <t>Lump sum payments</t>
  </si>
  <si>
    <t>c5.25</t>
  </si>
  <si>
    <t>c5.26</t>
  </si>
  <si>
    <t>c5.27</t>
  </si>
  <si>
    <t>SNil_rate 0%</t>
  </si>
  <si>
    <t>HR 0%</t>
  </si>
  <si>
    <t>c5.28</t>
  </si>
  <si>
    <t>c5.29</t>
  </si>
  <si>
    <t>c5.30</t>
  </si>
  <si>
    <t>c5.31</t>
  </si>
  <si>
    <t>lower of</t>
  </si>
  <si>
    <t>c5.32</t>
  </si>
  <si>
    <t>c5.33</t>
  </si>
  <si>
    <t>c5.34</t>
  </si>
  <si>
    <t>c5.35</t>
  </si>
  <si>
    <t>c5.36</t>
  </si>
  <si>
    <t>Savings income</t>
  </si>
  <si>
    <t>c5.37</t>
  </si>
  <si>
    <t>c5.38</t>
  </si>
  <si>
    <t>c5.39</t>
  </si>
  <si>
    <t>DivNil_rate 0%</t>
  </si>
  <si>
    <t>AR 0%</t>
  </si>
  <si>
    <t>c5.40</t>
  </si>
  <si>
    <t>c5.41</t>
  </si>
  <si>
    <t>c5.42</t>
  </si>
  <si>
    <t>c5.43</t>
  </si>
  <si>
    <t>c5.44</t>
  </si>
  <si>
    <t>c5.45</t>
  </si>
  <si>
    <t>c5.46</t>
  </si>
  <si>
    <t>Dividends income</t>
  </si>
  <si>
    <t>c5.47</t>
  </si>
  <si>
    <t>c5.48</t>
  </si>
  <si>
    <t>c5.49</t>
  </si>
  <si>
    <t>Additional rate</t>
  </si>
  <si>
    <t>Higher rate</t>
  </si>
  <si>
    <t>Basic rate</t>
  </si>
  <si>
    <t>Allowances and deductions</t>
  </si>
  <si>
    <t>Taxable income</t>
  </si>
  <si>
    <t>c5.50</t>
  </si>
  <si>
    <t>Step 2</t>
  </si>
  <si>
    <t>c5.51</t>
  </si>
  <si>
    <t>c5.52</t>
  </si>
  <si>
    <t>c5.53</t>
  </si>
  <si>
    <t>c5.54</t>
  </si>
  <si>
    <t>c5.55</t>
  </si>
  <si>
    <t>c5.56</t>
  </si>
  <si>
    <t>Non-savings</t>
  </si>
  <si>
    <t>c5.57</t>
  </si>
  <si>
    <t>income etc.</t>
  </si>
  <si>
    <t>c5.58</t>
  </si>
  <si>
    <t>PA available to HR 32.5%</t>
  </si>
  <si>
    <t>c5.59</t>
  </si>
  <si>
    <t>c5.60</t>
  </si>
  <si>
    <t>PA available minus Dividends in HR</t>
  </si>
  <si>
    <t>c5.61</t>
  </si>
  <si>
    <t>c5.62</t>
  </si>
  <si>
    <t>c5.63</t>
  </si>
  <si>
    <t>Lump sum</t>
  </si>
  <si>
    <t>c5.64</t>
  </si>
  <si>
    <t>payments</t>
  </si>
  <si>
    <t>c5.65</t>
  </si>
  <si>
    <t>c5.66</t>
  </si>
  <si>
    <t>c5.67</t>
  </si>
  <si>
    <t>c5.68</t>
  </si>
  <si>
    <t>PA allocation to BR instead of HR dividends</t>
  </si>
  <si>
    <t>c5.69</t>
  </si>
  <si>
    <t>c5.70</t>
  </si>
  <si>
    <t>c5.71</t>
  </si>
  <si>
    <t xml:space="preserve">Savings </t>
  </si>
  <si>
    <t>c5.72</t>
  </si>
  <si>
    <t>c5.73</t>
  </si>
  <si>
    <t>c5.74</t>
  </si>
  <si>
    <t>c5.75</t>
  </si>
  <si>
    <t>c5.76</t>
  </si>
  <si>
    <t>c5.77</t>
  </si>
  <si>
    <t>c5.78</t>
  </si>
  <si>
    <t>c5.79</t>
  </si>
  <si>
    <t>c5.80</t>
  </si>
  <si>
    <t>c5.81</t>
  </si>
  <si>
    <t>c5.82</t>
  </si>
  <si>
    <t>c5.83</t>
  </si>
  <si>
    <t>c5.84</t>
  </si>
  <si>
    <t>c5.85</t>
  </si>
  <si>
    <t>Foreign dividends</t>
  </si>
  <si>
    <t>c5.86</t>
  </si>
  <si>
    <t>c5.87</t>
  </si>
  <si>
    <t>c5.88</t>
  </si>
  <si>
    <t>Stock dividends</t>
  </si>
  <si>
    <t>UK dividends</t>
  </si>
  <si>
    <t>Gains</t>
  </si>
  <si>
    <t>on life policies etc.</t>
  </si>
  <si>
    <t>with notional tax</t>
  </si>
  <si>
    <t>Settlor Interested</t>
  </si>
  <si>
    <t>Trust income</t>
  </si>
  <si>
    <t>income</t>
  </si>
  <si>
    <t>c5.31 = 0 (HR_case? 'N')</t>
  </si>
  <si>
    <t>HR_case</t>
  </si>
  <si>
    <t>calculate if, after the personal allowance is reduced, you are liable to tax at a rate other than the</t>
  </si>
  <si>
    <t>basic rate, the dividend ordinary rate or the starting rate for savings</t>
  </si>
  <si>
    <t>if c4.68 = T_P_A £1,100 and c5.31 = 1 (HR_case? YES)</t>
  </si>
  <si>
    <t>Calculate boxes c4.69 through c5.31</t>
  </si>
  <si>
    <t>Retain calculation from c4.68 to c5.31</t>
  </si>
  <si>
    <t>c6.1</t>
  </si>
  <si>
    <t>Allocate income to tax bands</t>
  </si>
  <si>
    <t>c6.2</t>
  </si>
  <si>
    <t>c6.3</t>
  </si>
  <si>
    <t>c6.4</t>
  </si>
  <si>
    <t>c6.5</t>
  </si>
  <si>
    <t>c6.6</t>
  </si>
  <si>
    <t>c6.7</t>
  </si>
  <si>
    <t>c6.8</t>
  </si>
  <si>
    <t>c6.9</t>
  </si>
  <si>
    <t>c6.10</t>
  </si>
  <si>
    <t>Savings income in excess of the savings starting rate band, up to the lower of the amount of the excess or the individual's savings allowance, is charged at the savings nil rate.</t>
  </si>
  <si>
    <t>c6.11</t>
  </si>
  <si>
    <t>c6.12</t>
  </si>
  <si>
    <t>Allocate Non-savings</t>
  </si>
  <si>
    <t>Allocate Savings etc.</t>
  </si>
  <si>
    <t>Allocate Dividends etc.</t>
  </si>
  <si>
    <t xml:space="preserve">Allocate Lump sum </t>
  </si>
  <si>
    <t>Allocate gains on</t>
  </si>
  <si>
    <t>c6.13</t>
  </si>
  <si>
    <t xml:space="preserve"> Income etc.</t>
  </si>
  <si>
    <t xml:space="preserve"> (except Dividends) </t>
  </si>
  <si>
    <t>payments etc.</t>
  </si>
  <si>
    <t xml:space="preserve"> life policies (with </t>
  </si>
  <si>
    <t>c6.14</t>
  </si>
  <si>
    <t xml:space="preserve">and gains on life policies </t>
  </si>
  <si>
    <t>notional tax) etc.</t>
  </si>
  <si>
    <t>c6.15</t>
  </si>
  <si>
    <t>without notional tax</t>
  </si>
  <si>
    <t>c6.16</t>
  </si>
  <si>
    <t>c6.17</t>
  </si>
  <si>
    <t>c6.18</t>
  </si>
  <si>
    <t>Income</t>
  </si>
  <si>
    <t>c6.19</t>
  </si>
  <si>
    <t>c6.20</t>
  </si>
  <si>
    <t>c6.21</t>
  </si>
  <si>
    <t>Starting rate band for savings</t>
  </si>
  <si>
    <t>c6.22</t>
  </si>
  <si>
    <t>c6.23</t>
  </si>
  <si>
    <t>c6.24</t>
  </si>
  <si>
    <t>Income in starting rate band</t>
  </si>
  <si>
    <t>c6.25</t>
  </si>
  <si>
    <t>c6.26</t>
  </si>
  <si>
    <t>c6.27</t>
  </si>
  <si>
    <t>Income above starting rate band</t>
  </si>
  <si>
    <t>c6.28</t>
  </si>
  <si>
    <t>c6.29</t>
  </si>
  <si>
    <t>c6.30</t>
  </si>
  <si>
    <t>Band between Savings/Basic rate</t>
  </si>
  <si>
    <t>c6.31</t>
  </si>
  <si>
    <t>+ relevant earnings adjustment</t>
  </si>
  <si>
    <t>c6.32</t>
  </si>
  <si>
    <t>c6.33</t>
  </si>
  <si>
    <t>Personal Savings/</t>
  </si>
  <si>
    <t>c6.34</t>
  </si>
  <si>
    <t>c6.35</t>
  </si>
  <si>
    <t>c6.36</t>
  </si>
  <si>
    <t>c6.37</t>
  </si>
  <si>
    <t>c6.38</t>
  </si>
  <si>
    <t>Dividend Allowance used</t>
  </si>
  <si>
    <t>c6.39</t>
  </si>
  <si>
    <t>c6.40</t>
  </si>
  <si>
    <t>c6.41</t>
  </si>
  <si>
    <t>c6.42</t>
  </si>
  <si>
    <t>Income in basic rate band</t>
  </si>
  <si>
    <t>c6.43</t>
  </si>
  <si>
    <t>c6.44</t>
  </si>
  <si>
    <t>c6.45</t>
  </si>
  <si>
    <t>Income above basic rate band</t>
  </si>
  <si>
    <t>c6.46</t>
  </si>
  <si>
    <t>c6.47</t>
  </si>
  <si>
    <t>Band between Higher rate band</t>
  </si>
  <si>
    <t>c6.48</t>
  </si>
  <si>
    <t>&amp; Basic rate band</t>
  </si>
  <si>
    <t>c6.49</t>
  </si>
  <si>
    <t>c6.50</t>
  </si>
  <si>
    <t>c6.51</t>
  </si>
  <si>
    <t>c6.52</t>
  </si>
  <si>
    <t>Income in higher rate band</t>
  </si>
  <si>
    <t>c6.53</t>
  </si>
  <si>
    <t>c6.54</t>
  </si>
  <si>
    <t>c6.55</t>
  </si>
  <si>
    <t>Income in additional rate band</t>
  </si>
  <si>
    <t>c6.56</t>
  </si>
  <si>
    <t>c6.57</t>
  </si>
  <si>
    <t>c6.58</t>
  </si>
  <si>
    <t>c6.59</t>
  </si>
  <si>
    <t>c6.60</t>
  </si>
  <si>
    <t>Stage 8: Calculate Income Tax due</t>
  </si>
  <si>
    <t>STp_signal = TRUE = Scottish taxpayer</t>
  </si>
  <si>
    <t>c8.1</t>
  </si>
  <si>
    <t>c8.2</t>
  </si>
  <si>
    <t>pdown</t>
  </si>
  <si>
    <t>c8.3</t>
  </si>
  <si>
    <t>c8.4</t>
  </si>
  <si>
    <t>c8.5</t>
  </si>
  <si>
    <t>c8.6</t>
  </si>
  <si>
    <t>Starting rate</t>
  </si>
  <si>
    <t>c8.7</t>
  </si>
  <si>
    <t>c8.8</t>
  </si>
  <si>
    <t>Nil rate</t>
  </si>
  <si>
    <t>c8.9</t>
  </si>
  <si>
    <t>c8.10</t>
  </si>
  <si>
    <t>c8.11</t>
  </si>
  <si>
    <t>c8.12</t>
  </si>
  <si>
    <t>c8.13</t>
  </si>
  <si>
    <t>c8.14</t>
  </si>
  <si>
    <t>c8.15</t>
  </si>
  <si>
    <t>c8.16</t>
  </si>
  <si>
    <t>Dividend income</t>
  </si>
  <si>
    <t>c8.17</t>
  </si>
  <si>
    <t>c8.18</t>
  </si>
  <si>
    <t>c8.19</t>
  </si>
  <si>
    <t>c8.20</t>
  </si>
  <si>
    <t>c8.21</t>
  </si>
  <si>
    <t>c8.22</t>
  </si>
  <si>
    <t>c8.23</t>
  </si>
  <si>
    <t>c8.24</t>
  </si>
  <si>
    <t>non-residents tax</t>
  </si>
  <si>
    <t>c8.25</t>
  </si>
  <si>
    <t>Income Tax Due</t>
  </si>
  <si>
    <t>c8.26</t>
  </si>
  <si>
    <t>AHR_case</t>
  </si>
  <si>
    <t>Total Income Tax Due</t>
  </si>
  <si>
    <t>if c4.68 = T_P_A £1,100 and c4.76 = 1 (HR_case? YES)</t>
  </si>
  <si>
    <t>(HR_band (£118,000) minus (c5.5 + c5.9))</t>
  </si>
  <si>
    <t>HR_band (£118,000) minus (c5.6 + c5.10 + c5.21)</t>
  </si>
  <si>
    <t>DivBR_rate (7.5%)</t>
  </si>
  <si>
    <t>c4.41 x Dedn_taper (25%)</t>
  </si>
  <si>
    <t>DivHR_rate (32.5%)</t>
  </si>
  <si>
    <t>AHR_rate (45%)</t>
  </si>
  <si>
    <t>BR_rate (20%)</t>
  </si>
  <si>
    <t>DivAR_rate (38.1%)</t>
  </si>
  <si>
    <t>The first £5,000 of savings income is taxed at 0%; but only if non-savings and savings income is less than £16,000</t>
  </si>
  <si>
    <t>(the personal allowance – £11,000 plus the savings starting rate band of £5,000).</t>
  </si>
  <si>
    <t>HR_rate (40%)</t>
  </si>
  <si>
    <t>Calculate personal allowance due if your income is £100,000 or more</t>
  </si>
  <si>
    <t>The pseudo box at YPDTR is for the Scottish taxpayer signal</t>
  </si>
  <si>
    <t>ENTER INCOME</t>
  </si>
  <si>
    <t>ENTER RELIEFS &amp; ALLOWANCES</t>
  </si>
  <si>
    <t>IRIS CALCULATION</t>
  </si>
  <si>
    <t>HMRC CALCULATION</t>
  </si>
  <si>
    <t xml:space="preserve">                 Version 4.0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</si>
</sst>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0%"/>
    <numFmt numFmtId="165" formatCode="0.00000000000000"/>
    <numFmt numFmtId="166" formatCode="&quot;£&quot;#,##0"/>
    <numFmt numFmtId="167" formatCode="&quot;£&quot;#,##0.00"/>
  </numFmts>
  <fonts count="3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0"/>
      <name val="Arial"/>
      <family val="2"/>
    </font>
    <font>
      <sz val="10"/>
      <name val="Arial"/>
      <family val="2"/>
    </font>
    <font>
      <strike/>
      <sz val="10"/>
      <name val="Arial"/>
      <family val="2"/>
    </font>
    <font>
      <b/>
      <sz val="10"/>
      <color indexed="8"/>
      <name val="Arial"/>
      <family val="2"/>
    </font>
    <font>
      <sz val="9"/>
      <name val="Arial"/>
      <family val="2"/>
    </font>
    <font>
      <sz val="9"/>
      <color indexed="8"/>
      <name val="Arial"/>
      <family val="2"/>
    </font>
    <font>
      <sz val="9"/>
      <color indexed="23"/>
      <name val="Arial"/>
      <family val="2"/>
    </font>
    <font>
      <sz val="9"/>
      <color rgb="FFFF0000"/>
      <name val="Arial"/>
      <family val="2"/>
    </font>
    <font>
      <strike/>
      <sz val="9"/>
      <name val="Arial"/>
      <family val="2"/>
    </font>
    <font>
      <sz val="9"/>
      <color indexed="55"/>
      <name val="Arial"/>
      <family val="2"/>
    </font>
    <font>
      <b/>
      <sz val="14"/>
      <name val="Arial"/>
      <family val="2"/>
    </font>
    <font>
      <b/>
      <sz val="9"/>
      <name val="Arial"/>
      <family val="2"/>
    </font>
    <font>
      <b/>
      <u/>
      <sz val="9"/>
      <name val="Arial"/>
      <family val="2"/>
    </font>
    <font>
      <b/>
      <sz val="9"/>
      <color indexed="21"/>
      <name val="Arial"/>
      <family val="2"/>
    </font>
    <font>
      <sz val="9"/>
      <color rgb="FF008080"/>
      <name val="Arial"/>
      <family val="2"/>
    </font>
    <font>
      <sz val="9"/>
      <color indexed="21"/>
      <name val="Arial"/>
      <family val="2"/>
    </font>
    <font>
      <sz val="9"/>
      <color indexed="10"/>
      <name val="Arial"/>
      <family val="2"/>
    </font>
    <font>
      <sz val="9"/>
      <color indexed="17"/>
      <name val="Arial"/>
      <family val="2"/>
    </font>
    <font>
      <i/>
      <sz val="9"/>
      <name val="Arial"/>
      <family val="2"/>
    </font>
    <font>
      <sz val="9"/>
      <color indexed="12"/>
      <name val="Arial"/>
      <family val="2"/>
    </font>
    <font>
      <sz val="9"/>
      <color indexed="48"/>
      <name val="Arial"/>
      <family val="2"/>
    </font>
    <font>
      <strike/>
      <sz val="9"/>
      <color indexed="21"/>
      <name val="Arial"/>
      <family val="2"/>
    </font>
    <font>
      <b/>
      <strike/>
      <sz val="9"/>
      <color indexed="21"/>
      <name val="Arial"/>
      <family val="2"/>
    </font>
    <font>
      <b/>
      <strike/>
      <sz val="9"/>
      <name val="Arial"/>
      <family val="2"/>
    </font>
    <font>
      <sz val="10"/>
      <color rgb="FFFF0000"/>
      <name val="Arial"/>
      <family val="2"/>
    </font>
    <font>
      <b/>
      <sz val="9"/>
      <color rgb="FFFF0000"/>
      <name val="Arial"/>
      <family val="2"/>
    </font>
    <font>
      <strike/>
      <sz val="9"/>
      <color indexed="48"/>
      <name val="Arial"/>
      <family val="2"/>
    </font>
    <font>
      <sz val="14"/>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9" tint="0.79998168889431442"/>
        <bgColor indexed="64"/>
      </patternFill>
    </fill>
    <fill>
      <patternFill patternType="solid">
        <fgColor rgb="FFCCFFCC"/>
        <bgColor indexed="64"/>
      </patternFill>
    </fill>
    <fill>
      <patternFill patternType="solid">
        <fgColor rgb="FFFFFF00"/>
        <bgColor indexed="64"/>
      </patternFill>
    </fill>
    <fill>
      <patternFill patternType="solid">
        <fgColor rgb="FFFF66FF"/>
        <bgColor indexed="64"/>
      </patternFill>
    </fill>
    <fill>
      <patternFill patternType="solid">
        <fgColor theme="4" tint="0.39997558519241921"/>
        <bgColor indexed="64"/>
      </patternFill>
    </fill>
    <fill>
      <patternFill patternType="solid">
        <fgColor theme="5"/>
        <bgColor indexed="64"/>
      </patternFill>
    </fill>
    <fill>
      <patternFill patternType="solid">
        <fgColor theme="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rgb="FF008080"/>
      </bottom>
      <diagonal/>
    </border>
    <border>
      <left/>
      <right style="thin">
        <color auto="1"/>
      </right>
      <top/>
      <bottom/>
      <diagonal/>
    </border>
    <border>
      <left/>
      <right/>
      <top/>
      <bottom style="thin">
        <color indexed="38"/>
      </bottom>
      <diagonal/>
    </border>
    <border>
      <left style="thin">
        <color auto="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auto="1"/>
      </top>
      <bottom/>
      <diagonal/>
    </border>
    <border>
      <left/>
      <right style="thin">
        <color indexed="21"/>
      </right>
      <top/>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20">
    <xf numFmtId="0" fontId="0" fillId="0" borderId="0" xfId="0"/>
    <xf numFmtId="0" fontId="0" fillId="0" borderId="0" xfId="0" applyBorder="1"/>
    <xf numFmtId="0" fontId="4" fillId="2" borderId="0" xfId="0" applyFont="1" applyFill="1"/>
    <xf numFmtId="0" fontId="0" fillId="2" borderId="0" xfId="0" applyFill="1"/>
    <xf numFmtId="0" fontId="5" fillId="0" borderId="2" xfId="0" applyFont="1" applyFill="1" applyBorder="1"/>
    <xf numFmtId="0" fontId="5" fillId="0" borderId="3" xfId="0" applyFont="1" applyFill="1" applyBorder="1"/>
    <xf numFmtId="9" fontId="0" fillId="0" borderId="4" xfId="1" applyNumberFormat="1" applyFont="1" applyFill="1" applyBorder="1"/>
    <xf numFmtId="0" fontId="0" fillId="0" borderId="3" xfId="0" applyFill="1" applyBorder="1"/>
    <xf numFmtId="0" fontId="5" fillId="3" borderId="5" xfId="0" applyFont="1" applyFill="1" applyBorder="1"/>
    <xf numFmtId="0" fontId="0" fillId="0" borderId="6" xfId="0" applyFill="1" applyBorder="1"/>
    <xf numFmtId="9" fontId="0" fillId="0" borderId="7" xfId="1" applyNumberFormat="1" applyFont="1" applyFill="1" applyBorder="1"/>
    <xf numFmtId="0" fontId="0" fillId="3" borderId="2" xfId="0" applyFill="1" applyBorder="1"/>
    <xf numFmtId="0" fontId="0" fillId="3" borderId="3" xfId="0" applyFill="1" applyBorder="1"/>
    <xf numFmtId="9" fontId="0" fillId="3" borderId="4" xfId="1" applyNumberFormat="1" applyFont="1" applyFill="1" applyBorder="1"/>
    <xf numFmtId="0" fontId="0" fillId="0" borderId="2" xfId="0" applyFill="1" applyBorder="1"/>
    <xf numFmtId="9" fontId="0" fillId="0" borderId="4" xfId="0" applyNumberFormat="1" applyFill="1" applyBorder="1"/>
    <xf numFmtId="0" fontId="5" fillId="3" borderId="2" xfId="0" applyFont="1" applyFill="1" applyBorder="1"/>
    <xf numFmtId="0" fontId="5" fillId="3" borderId="3" xfId="0" applyFont="1" applyFill="1" applyBorder="1"/>
    <xf numFmtId="0" fontId="6" fillId="4" borderId="2" xfId="0" applyFont="1" applyFill="1" applyBorder="1"/>
    <xf numFmtId="0" fontId="6" fillId="4" borderId="3" xfId="0" applyFont="1" applyFill="1" applyBorder="1"/>
    <xf numFmtId="9" fontId="6" fillId="4" borderId="4" xfId="1" applyNumberFormat="1" applyFont="1" applyFill="1" applyBorder="1"/>
    <xf numFmtId="0" fontId="5" fillId="0" borderId="2" xfId="0" applyFont="1" applyFill="1" applyBorder="1" applyAlignment="1"/>
    <xf numFmtId="0" fontId="5" fillId="0" borderId="3" xfId="0" applyFont="1" applyFill="1" applyBorder="1" applyAlignment="1"/>
    <xf numFmtId="9" fontId="5" fillId="0" borderId="4" xfId="0" applyNumberFormat="1" applyFont="1" applyFill="1" applyBorder="1" applyAlignment="1"/>
    <xf numFmtId="0" fontId="6" fillId="3" borderId="5" xfId="0" applyFont="1" applyFill="1" applyBorder="1" applyAlignment="1"/>
    <xf numFmtId="0" fontId="6" fillId="3" borderId="6" xfId="0" applyFont="1" applyFill="1" applyBorder="1" applyAlignment="1"/>
    <xf numFmtId="164" fontId="6" fillId="3" borderId="7" xfId="1" applyNumberFormat="1" applyFont="1" applyFill="1" applyBorder="1" applyAlignment="1"/>
    <xf numFmtId="0" fontId="5" fillId="3" borderId="6" xfId="0" applyFont="1" applyFill="1" applyBorder="1"/>
    <xf numFmtId="164" fontId="0" fillId="3" borderId="4" xfId="1" applyNumberFormat="1" applyFont="1" applyFill="1" applyBorder="1"/>
    <xf numFmtId="0" fontId="5" fillId="0" borderId="5" xfId="0" applyFont="1" applyFill="1" applyBorder="1"/>
    <xf numFmtId="9" fontId="0" fillId="0" borderId="7" xfId="0" applyNumberFormat="1" applyFill="1" applyBorder="1"/>
    <xf numFmtId="9" fontId="0" fillId="3" borderId="4" xfId="0" applyNumberFormat="1" applyFill="1" applyBorder="1"/>
    <xf numFmtId="9" fontId="5" fillId="3" borderId="4" xfId="0" applyNumberFormat="1" applyFont="1" applyFill="1" applyBorder="1"/>
    <xf numFmtId="0" fontId="4" fillId="0" borderId="0" xfId="0" applyFont="1" applyFill="1"/>
    <xf numFmtId="0" fontId="0" fillId="0" borderId="0" xfId="0" applyFill="1"/>
    <xf numFmtId="3" fontId="0" fillId="0" borderId="4" xfId="0" applyNumberFormat="1" applyFill="1" applyBorder="1"/>
    <xf numFmtId="3" fontId="0" fillId="3" borderId="4" xfId="0" applyNumberFormat="1" applyFill="1" applyBorder="1"/>
    <xf numFmtId="3" fontId="5" fillId="3" borderId="4" xfId="0" applyNumberFormat="1" applyFont="1" applyFill="1" applyBorder="1"/>
    <xf numFmtId="4" fontId="5" fillId="0" borderId="4" xfId="0" applyNumberFormat="1" applyFont="1" applyFill="1" applyBorder="1"/>
    <xf numFmtId="0" fontId="5" fillId="2" borderId="2" xfId="0" applyFont="1" applyFill="1" applyBorder="1"/>
    <xf numFmtId="0" fontId="5" fillId="2" borderId="3" xfId="0" applyFont="1" applyFill="1" applyBorder="1"/>
    <xf numFmtId="4" fontId="5" fillId="2" borderId="4" xfId="0" applyNumberFormat="1" applyFont="1" applyFill="1" applyBorder="1"/>
    <xf numFmtId="4" fontId="0" fillId="3" borderId="4" xfId="0" applyNumberFormat="1" applyFill="1" applyBorder="1"/>
    <xf numFmtId="0" fontId="4" fillId="2" borderId="0" xfId="0" applyFont="1" applyFill="1" applyBorder="1"/>
    <xf numFmtId="3" fontId="0" fillId="0" borderId="4" xfId="1" applyNumberFormat="1" applyFont="1" applyFill="1" applyBorder="1"/>
    <xf numFmtId="3" fontId="5" fillId="0" borderId="4" xfId="0" applyNumberFormat="1" applyFont="1" applyFill="1" applyBorder="1"/>
    <xf numFmtId="9" fontId="0" fillId="0" borderId="4" xfId="3" applyFont="1" applyFill="1" applyBorder="1"/>
    <xf numFmtId="0" fontId="6" fillId="3" borderId="2" xfId="0" applyFont="1" applyFill="1" applyBorder="1"/>
    <xf numFmtId="0" fontId="6" fillId="3" borderId="3" xfId="0" applyFont="1" applyFill="1" applyBorder="1"/>
    <xf numFmtId="3" fontId="6" fillId="3" borderId="4" xfId="0" applyNumberFormat="1" applyFont="1" applyFill="1" applyBorder="1"/>
    <xf numFmtId="0" fontId="5" fillId="5" borderId="3" xfId="0" applyFont="1" applyFill="1" applyBorder="1"/>
    <xf numFmtId="0" fontId="7" fillId="2" borderId="0" xfId="0" applyFont="1" applyFill="1"/>
    <xf numFmtId="0" fontId="5" fillId="2" borderId="0" xfId="0" applyFont="1" applyFill="1"/>
    <xf numFmtId="0" fontId="8" fillId="2" borderId="8" xfId="0" applyFont="1" applyFill="1" applyBorder="1" applyAlignment="1">
      <alignment vertical="top"/>
    </xf>
    <xf numFmtId="165" fontId="9" fillId="5" borderId="8" xfId="0" applyNumberFormat="1" applyFont="1" applyFill="1" applyBorder="1" applyAlignment="1">
      <alignment vertical="top"/>
    </xf>
    <xf numFmtId="0" fontId="8" fillId="5" borderId="8" xfId="0" applyFont="1" applyFill="1" applyBorder="1" applyAlignment="1">
      <alignment vertical="top"/>
    </xf>
    <xf numFmtId="164" fontId="8" fillId="5" borderId="8" xfId="0" applyNumberFormat="1" applyFont="1" applyFill="1" applyBorder="1" applyAlignment="1">
      <alignment vertical="top"/>
    </xf>
    <xf numFmtId="0" fontId="9" fillId="2" borderId="8" xfId="0" applyFont="1" applyFill="1" applyBorder="1" applyAlignment="1">
      <alignment vertical="top"/>
    </xf>
    <xf numFmtId="0" fontId="10" fillId="2" borderId="8" xfId="0" applyFont="1" applyFill="1" applyBorder="1" applyAlignment="1">
      <alignment vertical="top"/>
    </xf>
    <xf numFmtId="9" fontId="10" fillId="2" borderId="8" xfId="0" applyNumberFormat="1" applyFont="1" applyFill="1" applyBorder="1" applyAlignment="1">
      <alignment vertical="top"/>
    </xf>
    <xf numFmtId="0" fontId="11" fillId="2" borderId="8" xfId="0" applyFont="1" applyFill="1" applyBorder="1" applyAlignment="1">
      <alignment vertical="top"/>
    </xf>
    <xf numFmtId="165" fontId="11" fillId="2" borderId="8" xfId="0" applyNumberFormat="1" applyFont="1" applyFill="1" applyBorder="1" applyAlignment="1">
      <alignment vertical="top"/>
    </xf>
    <xf numFmtId="9" fontId="11" fillId="2" borderId="8" xfId="0" applyNumberFormat="1" applyFont="1" applyFill="1" applyBorder="1" applyAlignment="1">
      <alignment vertical="top"/>
    </xf>
    <xf numFmtId="0" fontId="12" fillId="6" borderId="8" xfId="0" applyFont="1" applyFill="1" applyBorder="1" applyAlignment="1">
      <alignment vertical="top"/>
    </xf>
    <xf numFmtId="165" fontId="12" fillId="6" borderId="8" xfId="0" applyNumberFormat="1" applyFont="1" applyFill="1" applyBorder="1" applyAlignment="1">
      <alignment vertical="top"/>
    </xf>
    <xf numFmtId="10" fontId="12" fillId="6" borderId="8" xfId="0" applyNumberFormat="1" applyFont="1" applyFill="1" applyBorder="1" applyAlignment="1">
      <alignment vertical="top"/>
    </xf>
    <xf numFmtId="0" fontId="9" fillId="2" borderId="8" xfId="0" applyFont="1" applyFill="1" applyBorder="1" applyAlignment="1">
      <alignment vertical="top" wrapText="1"/>
    </xf>
    <xf numFmtId="165" fontId="8" fillId="2" borderId="8" xfId="0" applyNumberFormat="1" applyFont="1" applyFill="1" applyBorder="1" applyAlignment="1">
      <alignment vertical="top" wrapText="1"/>
    </xf>
    <xf numFmtId="0" fontId="13" fillId="2" borderId="8" xfId="0" applyFont="1" applyFill="1" applyBorder="1" applyAlignment="1">
      <alignment vertical="top" wrapText="1"/>
    </xf>
    <xf numFmtId="9" fontId="13" fillId="2" borderId="8" xfId="0" applyNumberFormat="1" applyFont="1" applyFill="1" applyBorder="1" applyAlignment="1">
      <alignment vertical="top" wrapText="1"/>
    </xf>
    <xf numFmtId="165" fontId="9" fillId="2" borderId="8" xfId="0" applyNumberFormat="1" applyFont="1" applyFill="1" applyBorder="1" applyAlignment="1">
      <alignment vertical="top"/>
    </xf>
    <xf numFmtId="10" fontId="8" fillId="5" borderId="8" xfId="0" applyNumberFormat="1" applyFont="1" applyFill="1" applyBorder="1" applyAlignment="1">
      <alignment vertical="top"/>
    </xf>
    <xf numFmtId="0" fontId="8" fillId="0" borderId="0" xfId="0" applyFont="1" applyFill="1"/>
    <xf numFmtId="0" fontId="14" fillId="0" borderId="0" xfId="0" applyFont="1" applyFill="1"/>
    <xf numFmtId="0" fontId="15" fillId="0" borderId="0" xfId="0" applyFont="1" applyFill="1"/>
    <xf numFmtId="1" fontId="8" fillId="0" borderId="0" xfId="0" applyNumberFormat="1" applyFont="1" applyFill="1"/>
    <xf numFmtId="0" fontId="8" fillId="0" borderId="3" xfId="0" applyFont="1" applyFill="1" applyBorder="1"/>
    <xf numFmtId="0" fontId="8" fillId="0" borderId="4" xfId="0" applyFont="1" applyFill="1" applyBorder="1"/>
    <xf numFmtId="0" fontId="16" fillId="0" borderId="0" xfId="0" applyFont="1" applyFill="1"/>
    <xf numFmtId="0" fontId="19" fillId="0" borderId="0" xfId="0" applyFont="1" applyFill="1"/>
    <xf numFmtId="0" fontId="19" fillId="0" borderId="8" xfId="0" applyFont="1" applyFill="1" applyBorder="1"/>
    <xf numFmtId="3" fontId="8" fillId="0" borderId="4" xfId="0" applyNumberFormat="1" applyFont="1" applyFill="1" applyBorder="1"/>
    <xf numFmtId="0" fontId="20" fillId="0" borderId="0" xfId="0" applyFont="1" applyFill="1"/>
    <xf numFmtId="0" fontId="8" fillId="0" borderId="0" xfId="0" applyFont="1" applyFill="1" applyAlignment="1">
      <alignment horizontal="right"/>
    </xf>
    <xf numFmtId="0" fontId="8" fillId="3" borderId="0" xfId="0" applyFont="1" applyFill="1"/>
    <xf numFmtId="0" fontId="8" fillId="3" borderId="0" xfId="0" applyFont="1" applyFill="1" applyBorder="1" applyAlignment="1">
      <alignment horizontal="right"/>
    </xf>
    <xf numFmtId="0" fontId="8" fillId="3" borderId="0" xfId="0" applyFont="1" applyFill="1" applyAlignment="1">
      <alignment horizontal="right"/>
    </xf>
    <xf numFmtId="3" fontId="8" fillId="0" borderId="8" xfId="2" applyNumberFormat="1" applyFont="1" applyFill="1" applyBorder="1"/>
    <xf numFmtId="0" fontId="11" fillId="0" borderId="0" xfId="0" applyFont="1" applyFill="1" applyBorder="1"/>
    <xf numFmtId="0" fontId="8" fillId="0" borderId="9" xfId="0" applyFont="1" applyFill="1" applyBorder="1"/>
    <xf numFmtId="0" fontId="19" fillId="0" borderId="0" xfId="0" applyFont="1" applyFill="1" applyBorder="1"/>
    <xf numFmtId="2" fontId="18" fillId="0" borderId="0" xfId="0" applyNumberFormat="1" applyFont="1" applyFill="1" applyBorder="1" applyAlignment="1">
      <alignment horizontal="right"/>
    </xf>
    <xf numFmtId="0" fontId="12" fillId="0" borderId="0" xfId="0" applyFont="1" applyFill="1"/>
    <xf numFmtId="1" fontId="15" fillId="0" borderId="0" xfId="0" applyNumberFormat="1" applyFont="1" applyFill="1" applyBorder="1" applyAlignment="1">
      <alignment horizontal="left"/>
    </xf>
    <xf numFmtId="0" fontId="8" fillId="0" borderId="0" xfId="0" applyFont="1" applyFill="1" applyBorder="1" applyAlignment="1">
      <alignment horizontal="right"/>
    </xf>
    <xf numFmtId="0" fontId="21" fillId="0" borderId="0" xfId="0" applyFont="1" applyFill="1"/>
    <xf numFmtId="3" fontId="8" fillId="0" borderId="8" xfId="0" applyNumberFormat="1" applyFont="1" applyFill="1" applyBorder="1"/>
    <xf numFmtId="0" fontId="20" fillId="0" borderId="0" xfId="0" applyFont="1" applyFill="1" applyAlignment="1">
      <alignment horizontal="right"/>
    </xf>
    <xf numFmtId="3" fontId="15" fillId="0" borderId="8" xfId="0" applyNumberFormat="1" applyFont="1" applyFill="1" applyBorder="1"/>
    <xf numFmtId="0" fontId="8" fillId="0" borderId="11" xfId="0" applyFont="1" applyFill="1" applyBorder="1"/>
    <xf numFmtId="0" fontId="8" fillId="0" borderId="0" xfId="0" applyFont="1" applyFill="1" applyBorder="1"/>
    <xf numFmtId="2" fontId="8" fillId="0" borderId="0" xfId="0" applyNumberFormat="1" applyFont="1" applyFill="1" applyBorder="1"/>
    <xf numFmtId="0" fontId="15" fillId="0" borderId="0" xfId="0" applyFont="1" applyFill="1" applyBorder="1"/>
    <xf numFmtId="2" fontId="8" fillId="0" borderId="0" xfId="0" applyNumberFormat="1" applyFont="1" applyFill="1" applyBorder="1" applyAlignment="1">
      <alignment horizontal="left"/>
    </xf>
    <xf numFmtId="2" fontId="8" fillId="0" borderId="0" xfId="0" applyNumberFormat="1" applyFont="1" applyFill="1" applyBorder="1" applyAlignment="1">
      <alignment horizontal="right"/>
    </xf>
    <xf numFmtId="0" fontId="12" fillId="0" borderId="0" xfId="0" applyFont="1" applyFill="1" applyAlignment="1">
      <alignment horizontal="right"/>
    </xf>
    <xf numFmtId="0" fontId="17" fillId="0" borderId="0" xfId="0" applyFont="1" applyFill="1"/>
    <xf numFmtId="3" fontId="8" fillId="0" borderId="0" xfId="2" applyNumberFormat="1" applyFont="1" applyFill="1" applyBorder="1"/>
    <xf numFmtId="0" fontId="22" fillId="0" borderId="0" xfId="0" applyFont="1" applyFill="1" applyAlignment="1">
      <alignment horizontal="left"/>
    </xf>
    <xf numFmtId="0" fontId="15" fillId="0" borderId="0" xfId="0" applyFont="1" applyFill="1" applyBorder="1" applyAlignment="1">
      <alignment horizontal="left"/>
    </xf>
    <xf numFmtId="0" fontId="8" fillId="6" borderId="0" xfId="0" applyFont="1" applyFill="1" applyAlignment="1">
      <alignment horizontal="right"/>
    </xf>
    <xf numFmtId="0" fontId="8" fillId="0" borderId="11" xfId="0" applyFont="1" applyFill="1" applyBorder="1" applyAlignment="1">
      <alignment horizontal="right"/>
    </xf>
    <xf numFmtId="0" fontId="8" fillId="0" borderId="0" xfId="0" applyFont="1" applyFill="1" applyBorder="1" applyAlignment="1">
      <alignment horizontal="left"/>
    </xf>
    <xf numFmtId="0" fontId="8" fillId="0" borderId="0" xfId="0" applyFont="1" applyFill="1" applyAlignment="1">
      <alignment horizontal="left" indent="1"/>
    </xf>
    <xf numFmtId="0" fontId="8" fillId="0" borderId="0" xfId="0" applyFont="1" applyFill="1" applyAlignment="1">
      <alignment horizontal="left" indent="2"/>
    </xf>
    <xf numFmtId="1" fontId="8" fillId="0" borderId="0" xfId="2" applyNumberFormat="1" applyFont="1" applyFill="1" applyBorder="1" applyAlignment="1" applyProtection="1">
      <protection locked="0"/>
    </xf>
    <xf numFmtId="0" fontId="8" fillId="0" borderId="0" xfId="0" applyFont="1" applyFill="1" applyAlignment="1">
      <alignment horizontal="left"/>
    </xf>
    <xf numFmtId="1" fontId="8" fillId="0" borderId="0" xfId="2" applyNumberFormat="1" applyFont="1" applyFill="1" applyBorder="1" applyProtection="1">
      <protection locked="0"/>
    </xf>
    <xf numFmtId="0" fontId="11" fillId="0" borderId="0" xfId="0" applyFont="1" applyFill="1"/>
    <xf numFmtId="0" fontId="8" fillId="0" borderId="0" xfId="0" applyFont="1" applyFill="1" applyAlignment="1"/>
    <xf numFmtId="1" fontId="8" fillId="0" borderId="0" xfId="0" applyNumberFormat="1" applyFont="1" applyFill="1" applyBorder="1"/>
    <xf numFmtId="1" fontId="8" fillId="0" borderId="0" xfId="0" applyNumberFormat="1" applyFont="1" applyFill="1" applyBorder="1" applyAlignment="1">
      <alignment horizontal="center"/>
    </xf>
    <xf numFmtId="0" fontId="12" fillId="0" borderId="0" xfId="0" applyFont="1" applyFill="1" applyBorder="1"/>
    <xf numFmtId="0" fontId="23" fillId="0" borderId="8" xfId="0" applyFont="1" applyFill="1" applyBorder="1"/>
    <xf numFmtId="1" fontId="23" fillId="0" borderId="8" xfId="0" applyNumberFormat="1" applyFont="1" applyFill="1" applyBorder="1"/>
    <xf numFmtId="0" fontId="8" fillId="0" borderId="0" xfId="0" applyFont="1" applyFill="1" applyBorder="1" applyAlignment="1"/>
    <xf numFmtId="0" fontId="8" fillId="6" borderId="0" xfId="0" applyFont="1" applyFill="1"/>
    <xf numFmtId="0" fontId="8" fillId="6" borderId="0" xfId="0" applyFont="1" applyFill="1" applyBorder="1" applyAlignment="1">
      <alignment horizontal="right"/>
    </xf>
    <xf numFmtId="1" fontId="8" fillId="6" borderId="0" xfId="0" applyNumberFormat="1" applyFont="1" applyFill="1" applyBorder="1" applyAlignment="1">
      <alignment horizontal="right"/>
    </xf>
    <xf numFmtId="0" fontId="17" fillId="6" borderId="0" xfId="0" applyFont="1" applyFill="1" applyBorder="1" applyAlignment="1"/>
    <xf numFmtId="0" fontId="19" fillId="6" borderId="8" xfId="0" applyFont="1" applyFill="1" applyBorder="1"/>
    <xf numFmtId="0" fontId="8" fillId="0" borderId="8" xfId="0" applyFont="1" applyFill="1" applyBorder="1"/>
    <xf numFmtId="0" fontId="15" fillId="0" borderId="0" xfId="0" applyFont="1" applyFill="1" applyAlignment="1">
      <alignment horizontal="right"/>
    </xf>
    <xf numFmtId="1" fontId="8" fillId="0" borderId="8" xfId="0" applyNumberFormat="1" applyFont="1" applyFill="1" applyBorder="1"/>
    <xf numFmtId="0" fontId="8" fillId="6" borderId="0" xfId="0" applyFont="1" applyFill="1" applyBorder="1"/>
    <xf numFmtId="0" fontId="17" fillId="6" borderId="0" xfId="0" applyFont="1" applyFill="1"/>
    <xf numFmtId="0" fontId="17" fillId="5" borderId="0" xfId="0" applyFont="1" applyFill="1"/>
    <xf numFmtId="0" fontId="8" fillId="5" borderId="0" xfId="0" applyFont="1" applyFill="1"/>
    <xf numFmtId="0" fontId="19" fillId="5" borderId="0" xfId="0" applyFont="1" applyFill="1"/>
    <xf numFmtId="0" fontId="11" fillId="5" borderId="0" xfId="0" applyFont="1" applyFill="1"/>
    <xf numFmtId="0" fontId="15" fillId="5" borderId="0" xfId="0" applyFont="1" applyFill="1"/>
    <xf numFmtId="0" fontId="8" fillId="5" borderId="0" xfId="0" applyFont="1" applyFill="1" applyAlignment="1">
      <alignment horizontal="right"/>
    </xf>
    <xf numFmtId="0" fontId="8" fillId="5" borderId="0" xfId="0" applyFont="1" applyFill="1" applyBorder="1" applyAlignment="1"/>
    <xf numFmtId="2" fontId="8" fillId="5" borderId="8" xfId="0" applyNumberFormat="1" applyFont="1" applyFill="1" applyBorder="1"/>
    <xf numFmtId="0" fontId="8" fillId="5" borderId="8" xfId="0" applyFont="1" applyFill="1" applyBorder="1"/>
    <xf numFmtId="0" fontId="8" fillId="6" borderId="0" xfId="0" applyFont="1" applyFill="1" applyAlignment="1">
      <alignment horizontal="left"/>
    </xf>
    <xf numFmtId="0" fontId="8" fillId="6" borderId="0" xfId="0" applyFont="1" applyFill="1" applyBorder="1" applyAlignment="1"/>
    <xf numFmtId="0" fontId="24" fillId="5" borderId="0" xfId="0" applyFont="1" applyFill="1" applyAlignment="1">
      <alignment horizontal="right"/>
    </xf>
    <xf numFmtId="0" fontId="24" fillId="5" borderId="8" xfId="0" applyFont="1" applyFill="1" applyBorder="1"/>
    <xf numFmtId="0" fontId="19" fillId="6" borderId="0" xfId="0" applyFont="1" applyFill="1"/>
    <xf numFmtId="2" fontId="19" fillId="5" borderId="8" xfId="0" applyNumberFormat="1" applyFont="1" applyFill="1" applyBorder="1"/>
    <xf numFmtId="0" fontId="24" fillId="6" borderId="8" xfId="0" applyFont="1" applyFill="1" applyBorder="1"/>
    <xf numFmtId="0" fontId="3" fillId="0" borderId="0" xfId="0" applyFont="1"/>
    <xf numFmtId="0" fontId="0" fillId="8" borderId="12" xfId="0" applyFill="1" applyBorder="1"/>
    <xf numFmtId="0" fontId="0" fillId="8" borderId="10" xfId="0" applyFill="1" applyBorder="1"/>
    <xf numFmtId="3" fontId="8" fillId="0" borderId="0" xfId="0" applyNumberFormat="1" applyFont="1" applyFill="1" applyBorder="1"/>
    <xf numFmtId="0" fontId="0" fillId="0" borderId="8" xfId="0" applyBorder="1"/>
    <xf numFmtId="0" fontId="14" fillId="3" borderId="0" xfId="0" applyFont="1" applyFill="1"/>
    <xf numFmtId="0" fontId="8" fillId="0" borderId="2" xfId="0" applyFont="1" applyFill="1" applyBorder="1" applyAlignment="1">
      <alignment horizontal="left"/>
    </xf>
    <xf numFmtId="0" fontId="12" fillId="3" borderId="0" xfId="0" applyFont="1" applyFill="1" applyBorder="1" applyAlignment="1">
      <alignment horizontal="right"/>
    </xf>
    <xf numFmtId="3" fontId="8" fillId="0" borderId="8" xfId="0" applyNumberFormat="1" applyFont="1" applyFill="1" applyBorder="1" applyAlignment="1"/>
    <xf numFmtId="0" fontId="20" fillId="0" borderId="0" xfId="0" applyFont="1" applyFill="1" applyBorder="1"/>
    <xf numFmtId="0" fontId="15" fillId="0" borderId="0" xfId="0" applyFont="1" applyFill="1" applyBorder="1" applyAlignment="1">
      <alignment horizontal="right"/>
    </xf>
    <xf numFmtId="0" fontId="12" fillId="0" borderId="0" xfId="0" applyFont="1" applyFill="1" applyBorder="1" applyAlignment="1">
      <alignment horizontal="right"/>
    </xf>
    <xf numFmtId="0" fontId="12" fillId="0" borderId="0" xfId="0" applyFont="1" applyFill="1" applyBorder="1" applyAlignment="1">
      <alignment horizontal="left"/>
    </xf>
    <xf numFmtId="0" fontId="14" fillId="0" borderId="0" xfId="0" applyFont="1" applyFill="1" applyAlignment="1">
      <alignment horizontal="left"/>
    </xf>
    <xf numFmtId="0" fontId="8" fillId="7" borderId="0" xfId="0" applyFont="1" applyFill="1"/>
    <xf numFmtId="0" fontId="8" fillId="7" borderId="0" xfId="0" applyFont="1" applyFill="1" applyAlignment="1">
      <alignment horizontal="right"/>
    </xf>
    <xf numFmtId="2" fontId="15" fillId="0" borderId="17" xfId="0" applyNumberFormat="1" applyFont="1" applyFill="1" applyBorder="1"/>
    <xf numFmtId="1" fontId="15" fillId="0" borderId="0" xfId="0" applyNumberFormat="1" applyFont="1" applyFill="1"/>
    <xf numFmtId="0" fontId="8" fillId="7" borderId="0" xfId="0" applyFont="1" applyFill="1" applyBorder="1" applyAlignment="1"/>
    <xf numFmtId="0" fontId="8" fillId="7" borderId="0" xfId="0" applyFont="1" applyFill="1" applyBorder="1" applyAlignment="1">
      <alignment horizontal="right"/>
    </xf>
    <xf numFmtId="0" fontId="19" fillId="7" borderId="8" xfId="0" applyFont="1" applyFill="1" applyBorder="1" applyAlignment="1">
      <alignment horizontal="left"/>
    </xf>
    <xf numFmtId="0" fontId="8" fillId="0" borderId="11" xfId="0" applyFont="1" applyFill="1" applyBorder="1" applyAlignment="1"/>
    <xf numFmtId="0" fontId="19" fillId="0" borderId="0" xfId="0" applyFont="1" applyFill="1" applyBorder="1" applyAlignment="1">
      <alignment horizontal="right"/>
    </xf>
    <xf numFmtId="0" fontId="19" fillId="7" borderId="0" xfId="0" applyFont="1" applyFill="1" applyBorder="1" applyAlignment="1">
      <alignment horizontal="right"/>
    </xf>
    <xf numFmtId="0" fontId="19" fillId="7" borderId="0" xfId="0" applyFont="1" applyFill="1" applyBorder="1" applyAlignment="1"/>
    <xf numFmtId="0" fontId="19" fillId="7" borderId="8" xfId="0" applyFont="1" applyFill="1" applyBorder="1"/>
    <xf numFmtId="1" fontId="8" fillId="0" borderId="8" xfId="0" quotePrefix="1" applyNumberFormat="1" applyFont="1" applyFill="1" applyBorder="1"/>
    <xf numFmtId="1" fontId="8" fillId="0" borderId="0" xfId="0" quotePrefix="1" applyNumberFormat="1" applyFont="1" applyFill="1" applyBorder="1"/>
    <xf numFmtId="2" fontId="15" fillId="7" borderId="0" xfId="0" applyNumberFormat="1" applyFont="1" applyFill="1"/>
    <xf numFmtId="2" fontId="15" fillId="0" borderId="0" xfId="0" applyNumberFormat="1" applyFont="1" applyFill="1"/>
    <xf numFmtId="3" fontId="8" fillId="7" borderId="0" xfId="0" applyNumberFormat="1" applyFont="1" applyFill="1"/>
    <xf numFmtId="3" fontId="8" fillId="7" borderId="0" xfId="0" applyNumberFormat="1" applyFont="1" applyFill="1" applyAlignment="1">
      <alignment horizontal="right"/>
    </xf>
    <xf numFmtId="3" fontId="8" fillId="0" borderId="0" xfId="0" applyNumberFormat="1" applyFont="1" applyFill="1"/>
    <xf numFmtId="0" fontId="8" fillId="7" borderId="0" xfId="0" applyFont="1" applyFill="1" applyBorder="1" applyAlignment="1">
      <alignment horizontal="left"/>
    </xf>
    <xf numFmtId="0" fontId="8" fillId="7" borderId="0" xfId="0" applyFont="1" applyFill="1" applyAlignment="1">
      <alignment horizontal="left"/>
    </xf>
    <xf numFmtId="2" fontId="8" fillId="7" borderId="0" xfId="0" applyNumberFormat="1" applyFont="1" applyFill="1" applyAlignment="1">
      <alignment horizontal="right"/>
    </xf>
    <xf numFmtId="0" fontId="19" fillId="0" borderId="0" xfId="0" applyFont="1" applyFill="1" applyBorder="1" applyAlignment="1"/>
    <xf numFmtId="2" fontId="8" fillId="0" borderId="17" xfId="0" applyNumberFormat="1" applyFont="1" applyFill="1" applyBorder="1"/>
    <xf numFmtId="2" fontId="8" fillId="0" borderId="0" xfId="0" applyNumberFormat="1" applyFont="1" applyFill="1"/>
    <xf numFmtId="2" fontId="11" fillId="0" borderId="0" xfId="0" applyNumberFormat="1" applyFont="1" applyFill="1" applyAlignment="1">
      <alignment horizontal="left"/>
    </xf>
    <xf numFmtId="2" fontId="8" fillId="7" borderId="0" xfId="0" applyNumberFormat="1" applyFont="1" applyFill="1" applyBorder="1" applyAlignment="1">
      <alignment horizontal="right"/>
    </xf>
    <xf numFmtId="0" fontId="28" fillId="0" borderId="0" xfId="0" applyFont="1" applyAlignment="1" applyProtection="1">
      <alignment horizontal="right"/>
      <protection hidden="1"/>
    </xf>
    <xf numFmtId="0" fontId="11" fillId="0" borderId="0" xfId="0" applyFont="1" applyFill="1" applyAlignment="1">
      <alignment horizontal="right"/>
    </xf>
    <xf numFmtId="0" fontId="12" fillId="7" borderId="0" xfId="0" applyFont="1" applyFill="1" applyAlignment="1">
      <alignment horizontal="right"/>
    </xf>
    <xf numFmtId="1" fontId="12" fillId="7" borderId="0" xfId="0" applyNumberFormat="1" applyFont="1" applyFill="1" applyAlignment="1">
      <alignment horizontal="right"/>
    </xf>
    <xf numFmtId="1" fontId="8" fillId="0" borderId="0" xfId="0" applyNumberFormat="1" applyFont="1" applyFill="1" applyBorder="1" applyAlignment="1">
      <alignment horizontal="right"/>
    </xf>
    <xf numFmtId="1" fontId="8" fillId="7" borderId="0" xfId="0" applyNumberFormat="1" applyFont="1" applyFill="1" applyBorder="1" applyAlignment="1">
      <alignment horizontal="right"/>
    </xf>
    <xf numFmtId="1" fontId="8" fillId="6" borderId="0" xfId="0" applyNumberFormat="1" applyFont="1" applyFill="1" applyAlignment="1">
      <alignment horizontal="right"/>
    </xf>
    <xf numFmtId="1" fontId="8" fillId="0" borderId="0" xfId="0" applyNumberFormat="1" applyFont="1" applyFill="1" applyAlignment="1">
      <alignment horizontal="right"/>
    </xf>
    <xf numFmtId="0" fontId="29" fillId="0" borderId="0" xfId="0" applyFont="1" applyFill="1"/>
    <xf numFmtId="0" fontId="12" fillId="7" borderId="0" xfId="0" applyFont="1" applyFill="1" applyBorder="1" applyAlignment="1">
      <alignment horizontal="right"/>
    </xf>
    <xf numFmtId="0" fontId="17" fillId="0" borderId="0" xfId="0" applyFont="1" applyFill="1" applyBorder="1" applyAlignment="1"/>
    <xf numFmtId="0" fontId="25" fillId="6" borderId="0" xfId="0" applyFont="1" applyFill="1"/>
    <xf numFmtId="0" fontId="12" fillId="6" borderId="0" xfId="0" applyFont="1" applyFill="1" applyBorder="1"/>
    <xf numFmtId="0" fontId="12" fillId="6" borderId="0" xfId="0" applyFont="1" applyFill="1"/>
    <xf numFmtId="0" fontId="12" fillId="6" borderId="0" xfId="0" applyFont="1" applyFill="1" applyAlignment="1">
      <alignment horizontal="right"/>
    </xf>
    <xf numFmtId="0" fontId="26" fillId="6" borderId="0" xfId="0" applyFont="1" applyFill="1"/>
    <xf numFmtId="0" fontId="30" fillId="6" borderId="0" xfId="0" applyFont="1" applyFill="1" applyAlignment="1">
      <alignment horizontal="right"/>
    </xf>
    <xf numFmtId="2" fontId="25" fillId="6" borderId="8" xfId="0" applyNumberFormat="1" applyFont="1" applyFill="1" applyBorder="1"/>
    <xf numFmtId="0" fontId="30" fillId="6" borderId="8" xfId="0" applyFont="1" applyFill="1" applyBorder="1"/>
    <xf numFmtId="0" fontId="30" fillId="0" borderId="0" xfId="0" applyFont="1" applyFill="1" applyBorder="1"/>
    <xf numFmtId="0" fontId="12" fillId="6" borderId="0" xfId="0" applyFont="1" applyFill="1" applyBorder="1" applyAlignment="1"/>
    <xf numFmtId="0" fontId="27" fillId="6" borderId="0" xfId="0" applyFont="1" applyFill="1" applyAlignment="1">
      <alignment horizontal="left"/>
    </xf>
    <xf numFmtId="0" fontId="12" fillId="6" borderId="0" xfId="0" applyFont="1" applyFill="1" applyAlignment="1">
      <alignment horizontal="left"/>
    </xf>
    <xf numFmtId="2" fontId="8" fillId="0" borderId="8" xfId="0" applyNumberFormat="1" applyFont="1" applyFill="1" applyBorder="1"/>
    <xf numFmtId="2" fontId="14" fillId="0" borderId="0" xfId="0" applyNumberFormat="1" applyFont="1" applyFill="1" applyBorder="1" applyAlignment="1">
      <alignment horizontal="left"/>
    </xf>
    <xf numFmtId="2" fontId="8" fillId="0" borderId="2" xfId="0" applyNumberFormat="1" applyFont="1" applyFill="1" applyBorder="1" applyAlignment="1">
      <alignment horizontal="left"/>
    </xf>
    <xf numFmtId="2" fontId="8" fillId="0" borderId="3" xfId="0" applyNumberFormat="1" applyFont="1" applyFill="1" applyBorder="1"/>
    <xf numFmtId="2" fontId="8" fillId="0" borderId="4" xfId="0" applyNumberFormat="1" applyFont="1" applyFill="1" applyBorder="1"/>
    <xf numFmtId="2" fontId="12" fillId="3" borderId="0" xfId="0" applyNumberFormat="1" applyFont="1" applyFill="1" applyBorder="1"/>
    <xf numFmtId="2" fontId="12" fillId="3" borderId="0" xfId="0" applyNumberFormat="1" applyFont="1" applyFill="1" applyBorder="1" applyAlignment="1">
      <alignment horizontal="right"/>
    </xf>
    <xf numFmtId="2" fontId="15" fillId="0" borderId="0" xfId="0" applyNumberFormat="1" applyFont="1" applyFill="1" applyBorder="1" applyAlignment="1">
      <alignment horizontal="left"/>
    </xf>
    <xf numFmtId="2" fontId="25" fillId="3" borderId="8" xfId="0" applyNumberFormat="1" applyFont="1" applyFill="1" applyBorder="1"/>
    <xf numFmtId="1" fontId="12" fillId="3" borderId="8" xfId="2" applyNumberFormat="1" applyFont="1" applyFill="1" applyBorder="1"/>
    <xf numFmtId="2" fontId="19" fillId="0" borderId="8" xfId="0" applyNumberFormat="1" applyFont="1" applyFill="1" applyBorder="1" applyAlignment="1">
      <alignment horizontal="left"/>
    </xf>
    <xf numFmtId="2" fontId="12" fillId="3" borderId="2" xfId="0" applyNumberFormat="1" applyFont="1" applyFill="1" applyBorder="1"/>
    <xf numFmtId="2" fontId="8" fillId="3" borderId="3" xfId="0" applyNumberFormat="1" applyFont="1" applyFill="1" applyBorder="1"/>
    <xf numFmtId="2" fontId="8" fillId="3" borderId="4" xfId="0" applyNumberFormat="1" applyFont="1" applyFill="1" applyBorder="1"/>
    <xf numFmtId="0" fontId="5" fillId="3" borderId="0" xfId="0" applyFont="1" applyFill="1"/>
    <xf numFmtId="2" fontId="8" fillId="3" borderId="0" xfId="0" applyNumberFormat="1" applyFont="1" applyFill="1"/>
    <xf numFmtId="2" fontId="8" fillId="6" borderId="0" xfId="0" applyNumberFormat="1" applyFont="1" applyFill="1"/>
    <xf numFmtId="2" fontId="15" fillId="0" borderId="8" xfId="0" applyNumberFormat="1" applyFont="1" applyFill="1" applyBorder="1"/>
    <xf numFmtId="2" fontId="15" fillId="0" borderId="0" xfId="0" applyNumberFormat="1" applyFont="1" applyFill="1" applyBorder="1"/>
    <xf numFmtId="2" fontId="15" fillId="0" borderId="0" xfId="0" applyNumberFormat="1" applyFont="1" applyFill="1" applyBorder="1" applyAlignment="1">
      <alignment horizontal="right"/>
    </xf>
    <xf numFmtId="3" fontId="15" fillId="0" borderId="0" xfId="0" applyNumberFormat="1" applyFont="1" applyFill="1" applyBorder="1"/>
    <xf numFmtId="2" fontId="15" fillId="0" borderId="0" xfId="0" applyNumberFormat="1" applyFont="1" applyFill="1" applyAlignment="1">
      <alignment horizontal="right"/>
    </xf>
    <xf numFmtId="2" fontId="19" fillId="0" borderId="8" xfId="0" applyNumberFormat="1" applyFont="1" applyFill="1" applyBorder="1"/>
    <xf numFmtId="2" fontId="19" fillId="3" borderId="8" xfId="0" applyNumberFormat="1" applyFont="1" applyFill="1" applyBorder="1"/>
    <xf numFmtId="1" fontId="8" fillId="0" borderId="0" xfId="2" applyNumberFormat="1" applyFont="1" applyFill="1" applyBorder="1" applyAlignment="1">
      <alignment horizontal="right"/>
    </xf>
    <xf numFmtId="2" fontId="8" fillId="0" borderId="0" xfId="0" applyNumberFormat="1" applyFont="1" applyFill="1" applyAlignment="1">
      <alignment horizontal="right"/>
    </xf>
    <xf numFmtId="2" fontId="8" fillId="9" borderId="0" xfId="0" applyNumberFormat="1" applyFont="1" applyFill="1"/>
    <xf numFmtId="2" fontId="8" fillId="9" borderId="0" xfId="0" applyNumberFormat="1" applyFont="1" applyFill="1" applyBorder="1" applyAlignment="1">
      <alignment horizontal="right"/>
    </xf>
    <xf numFmtId="2" fontId="12" fillId="0" borderId="0" xfId="0" applyNumberFormat="1" applyFont="1" applyFill="1" applyBorder="1" applyAlignment="1">
      <alignment horizontal="right"/>
    </xf>
    <xf numFmtId="2" fontId="8" fillId="3" borderId="0" xfId="0" applyNumberFormat="1" applyFont="1" applyFill="1" applyBorder="1" applyAlignment="1">
      <alignment horizontal="right"/>
    </xf>
    <xf numFmtId="2" fontId="12" fillId="0" borderId="17" xfId="0" applyNumberFormat="1" applyFont="1" applyFill="1" applyBorder="1"/>
    <xf numFmtId="2" fontId="12" fillId="0" borderId="0" xfId="0" applyNumberFormat="1" applyFont="1" applyFill="1" applyBorder="1"/>
    <xf numFmtId="2" fontId="12" fillId="9" borderId="0" xfId="0" applyNumberFormat="1" applyFont="1" applyFill="1" applyBorder="1"/>
    <xf numFmtId="3" fontId="15" fillId="0" borderId="8" xfId="2" applyNumberFormat="1" applyFont="1" applyFill="1" applyBorder="1"/>
    <xf numFmtId="2" fontId="19" fillId="9" borderId="8" xfId="0" applyNumberFormat="1" applyFont="1" applyFill="1" applyBorder="1"/>
    <xf numFmtId="3" fontId="8" fillId="9" borderId="8" xfId="2" applyNumberFormat="1" applyFont="1" applyFill="1" applyBorder="1"/>
    <xf numFmtId="1" fontId="12" fillId="0" borderId="0" xfId="2" applyNumberFormat="1" applyFont="1" applyFill="1" applyBorder="1"/>
    <xf numFmtId="3" fontId="8" fillId="0" borderId="8" xfId="2" applyNumberFormat="1" applyFont="1" applyFill="1" applyBorder="1" applyAlignment="1">
      <alignment horizontal="right"/>
    </xf>
    <xf numFmtId="1" fontId="8" fillId="0" borderId="8" xfId="2" applyNumberFormat="1" applyFont="1" applyFill="1" applyBorder="1" applyAlignment="1">
      <alignment horizontal="right"/>
    </xf>
    <xf numFmtId="1" fontId="8" fillId="9" borderId="8" xfId="2" applyNumberFormat="1" applyFont="1" applyFill="1" applyBorder="1" applyAlignment="1">
      <alignment horizontal="right"/>
    </xf>
    <xf numFmtId="2" fontId="12" fillId="0" borderId="0" xfId="0" applyNumberFormat="1" applyFont="1" applyFill="1"/>
    <xf numFmtId="2" fontId="8" fillId="3" borderId="0" xfId="0" applyNumberFormat="1" applyFont="1" applyFill="1" applyBorder="1"/>
    <xf numFmtId="2" fontId="11" fillId="0" borderId="0" xfId="0" applyNumberFormat="1" applyFont="1" applyFill="1" applyBorder="1"/>
    <xf numFmtId="2" fontId="17" fillId="0" borderId="8" xfId="0" applyNumberFormat="1" applyFont="1" applyFill="1" applyBorder="1"/>
    <xf numFmtId="2" fontId="17" fillId="3" borderId="8" xfId="0" applyNumberFormat="1" applyFont="1" applyFill="1" applyBorder="1"/>
    <xf numFmtId="2" fontId="19" fillId="6" borderId="8" xfId="0" applyNumberFormat="1" applyFont="1" applyFill="1" applyBorder="1"/>
    <xf numFmtId="1" fontId="8" fillId="0" borderId="8" xfId="2" applyNumberFormat="1" applyFont="1" applyFill="1" applyBorder="1"/>
    <xf numFmtId="2" fontId="8" fillId="3" borderId="0" xfId="0" applyNumberFormat="1" applyFont="1" applyFill="1" applyAlignment="1">
      <alignment horizontal="right"/>
    </xf>
    <xf numFmtId="2" fontId="8" fillId="6" borderId="0" xfId="0" applyNumberFormat="1" applyFont="1" applyFill="1" applyAlignment="1">
      <alignment horizontal="right"/>
    </xf>
    <xf numFmtId="2" fontId="8" fillId="0" borderId="0" xfId="0" applyNumberFormat="1" applyFont="1" applyFill="1" applyAlignment="1">
      <alignment horizontal="left"/>
    </xf>
    <xf numFmtId="2" fontId="8" fillId="6" borderId="0" xfId="0" applyNumberFormat="1" applyFont="1" applyFill="1" applyBorder="1"/>
    <xf numFmtId="2" fontId="8" fillId="6" borderId="0" xfId="0" applyNumberFormat="1" applyFont="1" applyFill="1" applyBorder="1" applyAlignment="1">
      <alignment horizontal="right"/>
    </xf>
    <xf numFmtId="2" fontId="8" fillId="0" borderId="0" xfId="0" applyNumberFormat="1" applyFont="1" applyFill="1" applyAlignment="1"/>
    <xf numFmtId="4" fontId="8" fillId="0" borderId="0" xfId="0" quotePrefix="1" applyNumberFormat="1" applyFont="1" applyFill="1" applyBorder="1" applyAlignment="1">
      <alignment horizontal="right"/>
    </xf>
    <xf numFmtId="3" fontId="8" fillId="0" borderId="8" xfId="2" applyNumberFormat="1" applyFont="1" applyFill="1" applyBorder="1" applyAlignment="1"/>
    <xf numFmtId="2" fontId="8" fillId="0" borderId="0" xfId="0" applyNumberFormat="1" applyFont="1" applyFill="1" applyBorder="1" applyAlignment="1"/>
    <xf numFmtId="2" fontId="8" fillId="5" borderId="0" xfId="0" applyNumberFormat="1" applyFont="1" applyFill="1" applyAlignment="1">
      <alignment horizontal="right"/>
    </xf>
    <xf numFmtId="2" fontId="11" fillId="0" borderId="0" xfId="0" applyNumberFormat="1" applyFont="1" applyFill="1"/>
    <xf numFmtId="2" fontId="15" fillId="3" borderId="0" xfId="0" applyNumberFormat="1" applyFont="1" applyFill="1"/>
    <xf numFmtId="2" fontId="8" fillId="9" borderId="0" xfId="0" applyNumberFormat="1" applyFont="1" applyFill="1" applyAlignment="1">
      <alignment horizontal="right"/>
    </xf>
    <xf numFmtId="2" fontId="17" fillId="9" borderId="8" xfId="0" applyNumberFormat="1" applyFont="1" applyFill="1" applyBorder="1"/>
    <xf numFmtId="2" fontId="8" fillId="9" borderId="0" xfId="0" applyNumberFormat="1" applyFont="1" applyFill="1" applyBorder="1"/>
    <xf numFmtId="2" fontId="8" fillId="9" borderId="0" xfId="0" applyNumberFormat="1" applyFont="1" applyFill="1" applyAlignment="1">
      <alignment horizontal="right" wrapText="1"/>
    </xf>
    <xf numFmtId="0" fontId="8" fillId="3" borderId="0" xfId="0" applyFont="1" applyFill="1" applyAlignment="1">
      <alignment horizontal="left" indent="1"/>
    </xf>
    <xf numFmtId="2" fontId="12" fillId="6" borderId="0" xfId="0" applyNumberFormat="1" applyFont="1" applyFill="1" applyBorder="1"/>
    <xf numFmtId="2" fontId="19" fillId="5" borderId="0" xfId="0" applyNumberFormat="1" applyFont="1" applyFill="1" applyBorder="1"/>
    <xf numFmtId="4" fontId="8" fillId="0" borderId="8" xfId="0" applyNumberFormat="1" applyFont="1" applyFill="1" applyBorder="1"/>
    <xf numFmtId="2" fontId="20" fillId="0" borderId="0" xfId="0" applyNumberFormat="1" applyFont="1" applyFill="1"/>
    <xf numFmtId="2" fontId="19" fillId="0" borderId="0" xfId="0" applyNumberFormat="1" applyFont="1" applyFill="1" applyBorder="1"/>
    <xf numFmtId="2" fontId="8" fillId="5" borderId="0" xfId="0" applyNumberFormat="1" applyFont="1" applyFill="1"/>
    <xf numFmtId="2" fontId="8" fillId="5" borderId="0" xfId="0" applyNumberFormat="1" applyFont="1" applyFill="1" applyBorder="1" applyAlignment="1">
      <alignment horizontal="right"/>
    </xf>
    <xf numFmtId="2" fontId="15" fillId="0" borderId="0" xfId="0" applyNumberFormat="1" applyFont="1" applyFill="1" applyAlignment="1">
      <alignment horizontal="left"/>
    </xf>
    <xf numFmtId="0" fontId="24" fillId="0" borderId="0" xfId="0" applyFont="1" applyFill="1" applyAlignment="1">
      <alignment horizontal="right"/>
    </xf>
    <xf numFmtId="0" fontId="24" fillId="0" borderId="8" xfId="0" applyFont="1" applyFill="1" applyBorder="1"/>
    <xf numFmtId="0" fontId="0" fillId="8" borderId="12" xfId="0" applyFill="1" applyBorder="1" applyAlignment="1">
      <alignment horizontal="center"/>
    </xf>
    <xf numFmtId="0" fontId="0" fillId="8" borderId="10" xfId="0" applyFill="1" applyBorder="1" applyAlignment="1">
      <alignment horizontal="center"/>
    </xf>
    <xf numFmtId="166" fontId="8" fillId="0" borderId="8" xfId="0" applyNumberFormat="1" applyFont="1" applyFill="1" applyBorder="1"/>
    <xf numFmtId="0" fontId="0" fillId="8" borderId="18" xfId="0" applyFill="1" applyBorder="1"/>
    <xf numFmtId="0" fontId="0" fillId="2" borderId="5" xfId="0" applyFill="1" applyBorder="1"/>
    <xf numFmtId="0" fontId="0" fillId="2" borderId="6" xfId="0" applyFill="1" applyBorder="1"/>
    <xf numFmtId="0" fontId="0" fillId="2" borderId="7" xfId="0" applyFill="1" applyBorder="1"/>
    <xf numFmtId="0" fontId="0" fillId="2" borderId="12" xfId="0" applyFill="1" applyBorder="1"/>
    <xf numFmtId="0" fontId="0" fillId="2" borderId="0" xfId="0" applyFill="1" applyBorder="1"/>
    <xf numFmtId="0" fontId="0" fillId="2" borderId="10" xfId="0" applyFill="1" applyBorder="1"/>
    <xf numFmtId="0" fontId="0" fillId="2" borderId="13" xfId="0" applyFill="1" applyBorder="1"/>
    <xf numFmtId="0" fontId="0" fillId="2" borderId="14" xfId="0" applyFill="1" applyBorder="1"/>
    <xf numFmtId="0" fontId="0" fillId="2" borderId="15" xfId="0" applyFill="1" applyBorder="1"/>
    <xf numFmtId="0" fontId="0" fillId="2" borderId="16" xfId="0" applyFill="1" applyBorder="1"/>
    <xf numFmtId="0" fontId="3" fillId="2" borderId="0" xfId="0" applyFont="1" applyFill="1" applyBorder="1"/>
    <xf numFmtId="166" fontId="0" fillId="2" borderId="0" xfId="0" applyNumberFormat="1" applyFill="1" applyBorder="1"/>
    <xf numFmtId="0" fontId="0" fillId="2" borderId="18" xfId="0" applyFill="1" applyBorder="1"/>
    <xf numFmtId="4" fontId="0" fillId="2" borderId="0" xfId="0" applyNumberFormat="1" applyFill="1" applyBorder="1"/>
    <xf numFmtId="166" fontId="0" fillId="2" borderId="0" xfId="0" applyNumberFormat="1" applyFill="1" applyBorder="1" applyAlignment="1">
      <alignment horizontal="right"/>
    </xf>
    <xf numFmtId="167" fontId="0" fillId="2" borderId="0" xfId="0" applyNumberFormat="1" applyFill="1" applyBorder="1"/>
    <xf numFmtId="167" fontId="0" fillId="2" borderId="0" xfId="0" applyNumberFormat="1" applyFill="1" applyBorder="1" applyAlignment="1">
      <alignment horizontal="right"/>
    </xf>
    <xf numFmtId="0" fontId="0" fillId="2" borderId="0" xfId="0" applyFill="1" applyBorder="1" applyAlignment="1">
      <alignment horizontal="right"/>
    </xf>
    <xf numFmtId="1" fontId="0" fillId="2" borderId="0" xfId="0" applyNumberFormat="1" applyFill="1" applyBorder="1" applyAlignment="1">
      <alignment horizontal="right"/>
    </xf>
    <xf numFmtId="3" fontId="0" fillId="2" borderId="0" xfId="0" applyNumberFormat="1" applyFill="1" applyBorder="1" applyAlignment="1">
      <alignment horizontal="right"/>
    </xf>
    <xf numFmtId="167" fontId="3" fillId="2" borderId="0" xfId="0" applyNumberFormat="1" applyFont="1" applyFill="1" applyBorder="1"/>
    <xf numFmtId="167" fontId="0" fillId="10" borderId="1" xfId="0" applyNumberFormat="1" applyFill="1" applyBorder="1" applyProtection="1">
      <protection locked="0"/>
    </xf>
    <xf numFmtId="0" fontId="0" fillId="10" borderId="1" xfId="0" applyFill="1" applyBorder="1" applyProtection="1">
      <protection locked="0"/>
    </xf>
    <xf numFmtId="0" fontId="2" fillId="0" borderId="0" xfId="0" applyFont="1" applyAlignment="1">
      <alignment horizontal="center" vertical="center"/>
    </xf>
    <xf numFmtId="0" fontId="31" fillId="0" borderId="0" xfId="0" applyFont="1" applyAlignment="1">
      <alignment horizontal="left" vertical="top"/>
    </xf>
    <xf numFmtId="0" fontId="3" fillId="8" borderId="0"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1">
    <dxf>
      <font>
        <color rgb="FFC00000"/>
      </font>
      <fill>
        <patternFill>
          <bgColor rgb="FFFF7C80"/>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2</xdr:row>
      <xdr:rowOff>106680</xdr:rowOff>
    </xdr:from>
    <xdr:to>
      <xdr:col>2</xdr:col>
      <xdr:colOff>1644711</xdr:colOff>
      <xdr:row>6</xdr:row>
      <xdr:rowOff>137160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66700"/>
          <a:ext cx="2170491" cy="662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an/Documents/BA/2017/Budget%20Release/Specials%20and%20Exclusions/IRIS%20TC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brary"/>
      <sheetName val="data"/>
      <sheetName val="Changes log"/>
      <sheetName val="Read me"/>
      <sheetName val="Test Case index"/>
      <sheetName val="Selector"/>
      <sheetName val="More Select"/>
      <sheetName val="tc_template"/>
      <sheetName val="target"/>
      <sheetName val="C0"/>
      <sheetName val="C1"/>
      <sheetName val="C2"/>
      <sheetName val="C3"/>
      <sheetName val="C4"/>
      <sheetName val="C5"/>
      <sheetName val="C6"/>
      <sheetName val="C7"/>
      <sheetName val="C8C9C10"/>
      <sheetName val="Add pages"/>
      <sheetName val="Test case"/>
      <sheetName val="SA302"/>
      <sheetName val="Taxable Income"/>
      <sheetName val="Income types"/>
      <sheetName val="CRC"/>
      <sheetName val="Swiss Tax Credit"/>
      <sheetName val="Liability"/>
      <sheetName val="SA302_interface"/>
      <sheetName val="liability_template"/>
      <sheetName val="INC(1)"/>
      <sheetName val="INC(2)"/>
      <sheetName val="REL(1)"/>
      <sheetName val="REL(2)"/>
      <sheetName val="AOI"/>
      <sheetName val="Multi-UK-gains"/>
      <sheetName val="ASE"/>
      <sheetName val="AOR"/>
      <sheetName val="MCA"/>
      <sheetName val="AIL"/>
      <sheetName val="EMP"/>
      <sheetName val="MOR"/>
      <sheetName val="SE"/>
      <sheetName val="LUN"/>
      <sheetName val="PS"/>
      <sheetName val="NI"/>
      <sheetName val="PRO"/>
      <sheetName val="FOR"/>
      <sheetName val="Swiss Tax"/>
      <sheetName val="FTCR"/>
      <sheetName val="Multi-foreign-gains"/>
      <sheetName val="TRU"/>
      <sheetName val="CGT"/>
      <sheetName val="NRD"/>
      <sheetName val="CAL"/>
      <sheetName val="SA302_template"/>
      <sheetName val="SA302_template (W)"/>
      <sheetName val="IRCX_template"/>
      <sheetName val="TCRWS"/>
      <sheetName val="FTCR_Calc"/>
      <sheetName val="NS income (c1)"/>
      <sheetName val="Savings (c2)"/>
      <sheetName val="Divs (c3)"/>
      <sheetName val="Deductions (c4)"/>
      <sheetName val="Taxable (c5)"/>
      <sheetName val="tax it (c6)"/>
      <sheetName val="CDR (c7)"/>
      <sheetName val="tax it (c8)"/>
      <sheetName val="Tax adj (c9)"/>
      <sheetName val="CRC_template"/>
      <sheetName val="Div Cr (c10)"/>
      <sheetName val="Tax paid (c11)"/>
      <sheetName val="Tax due (c12)"/>
      <sheetName val="POAs (c13)"/>
      <sheetName val="allowances (c14c15)"/>
      <sheetName val="Class 4 NIC (c16)"/>
      <sheetName val="TSR (c17)"/>
      <sheetName val="930_template"/>
      <sheetName val="CG (c18)"/>
      <sheetName val="RBC (c19)"/>
      <sheetName val="RBC &amp; Cap (C20a)"/>
      <sheetName val="Notional (c21c24)"/>
      <sheetName val="Pensions (c25c26)"/>
      <sheetName val="S loans(c27)"/>
      <sheetName val="CBC(c28)"/>
      <sheetName val="non-res (c91)"/>
      <sheetName val="c99"/>
      <sheetName val="Swiss (SW)"/>
    </sheetNames>
    <sheetDataSet>
      <sheetData sheetId="0"/>
      <sheetData sheetId="1">
        <row r="46">
          <cell r="I46">
            <v>1.25</v>
          </cell>
          <cell r="J46" t="str">
            <v>100/80</v>
          </cell>
        </row>
        <row r="48">
          <cell r="E48">
            <v>0</v>
          </cell>
        </row>
        <row r="49">
          <cell r="E49">
            <v>0</v>
          </cell>
        </row>
        <row r="51">
          <cell r="E51">
            <v>0.2</v>
          </cell>
        </row>
        <row r="52">
          <cell r="E52">
            <v>0.4</v>
          </cell>
        </row>
        <row r="53">
          <cell r="E53">
            <v>0.45</v>
          </cell>
          <cell r="I53">
            <v>1.25</v>
          </cell>
          <cell r="J53" t="str">
            <v>100/80</v>
          </cell>
        </row>
        <row r="54">
          <cell r="E54">
            <v>0.2</v>
          </cell>
        </row>
        <row r="55">
          <cell r="E55">
            <v>0.4</v>
          </cell>
        </row>
        <row r="56">
          <cell r="E56">
            <v>0.45</v>
          </cell>
        </row>
        <row r="61">
          <cell r="E61">
            <v>0</v>
          </cell>
        </row>
        <row r="62">
          <cell r="E62">
            <v>7.4999999999999997E-2</v>
          </cell>
        </row>
        <row r="63">
          <cell r="E63">
            <v>0.32500000000000001</v>
          </cell>
        </row>
        <row r="64">
          <cell r="E64">
            <v>0.38100000000000001</v>
          </cell>
        </row>
        <row r="78">
          <cell r="E78">
            <v>5000</v>
          </cell>
        </row>
        <row r="79">
          <cell r="E79">
            <v>27000</v>
          </cell>
        </row>
        <row r="80">
          <cell r="E80">
            <v>32000</v>
          </cell>
        </row>
        <row r="82">
          <cell r="E82">
            <v>118000</v>
          </cell>
        </row>
        <row r="83">
          <cell r="E83">
            <v>150000</v>
          </cell>
        </row>
        <row r="108">
          <cell r="E108">
            <v>11000</v>
          </cell>
        </row>
        <row r="112">
          <cell r="E112">
            <v>100000</v>
          </cell>
        </row>
        <row r="113">
          <cell r="E113">
            <v>0.5</v>
          </cell>
        </row>
        <row r="114">
          <cell r="E114">
            <v>1000</v>
          </cell>
        </row>
        <row r="115">
          <cell r="E115">
            <v>500</v>
          </cell>
        </row>
        <row r="116">
          <cell r="E116">
            <v>0</v>
          </cell>
        </row>
        <row r="117">
          <cell r="E117">
            <v>5000</v>
          </cell>
        </row>
        <row r="118">
          <cell r="E118">
            <v>1100</v>
          </cell>
        </row>
        <row r="122">
          <cell r="E122">
            <v>2290</v>
          </cell>
        </row>
        <row r="125">
          <cell r="E125">
            <v>50000</v>
          </cell>
        </row>
        <row r="126">
          <cell r="E126">
            <v>0.25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5">
          <cell r="L35" t="b">
            <v>0</v>
          </cell>
        </row>
      </sheetData>
      <sheetData sheetId="19"/>
      <sheetData sheetId="20"/>
      <sheetData sheetId="21"/>
      <sheetData sheetId="22"/>
      <sheetData sheetId="23"/>
      <sheetData sheetId="24"/>
      <sheetData sheetId="25"/>
      <sheetData sheetId="26"/>
      <sheetData sheetId="27"/>
      <sheetData sheetId="28">
        <row r="1">
          <cell r="A1" t="str">
            <v>YPD</v>
          </cell>
        </row>
        <row r="8">
          <cell r="I8">
            <v>1</v>
          </cell>
        </row>
      </sheetData>
      <sheetData sheetId="29"/>
      <sheetData sheetId="30">
        <row r="2">
          <cell r="A2" t="str">
            <v>REL</v>
          </cell>
        </row>
      </sheetData>
      <sheetData sheetId="31">
        <row r="5">
          <cell r="N5" t="b">
            <v>0</v>
          </cell>
        </row>
        <row r="26">
          <cell r="N26" t="b">
            <v>0</v>
          </cell>
        </row>
        <row r="30">
          <cell r="N30" t="b">
            <v>0</v>
          </cell>
        </row>
      </sheetData>
      <sheetData sheetId="32"/>
      <sheetData sheetId="33"/>
      <sheetData sheetId="34"/>
      <sheetData sheetId="35">
        <row r="1">
          <cell r="A1" t="str">
            <v>AOR</v>
          </cell>
        </row>
      </sheetData>
      <sheetData sheetId="36"/>
      <sheetData sheetId="37"/>
      <sheetData sheetId="38"/>
      <sheetData sheetId="39"/>
      <sheetData sheetId="40">
        <row r="1">
          <cell r="A1" t="str">
            <v>SSE</v>
          </cell>
        </row>
        <row r="9">
          <cell r="A9" t="str">
            <v>FSE</v>
          </cell>
        </row>
      </sheetData>
      <sheetData sheetId="41">
        <row r="1">
          <cell r="A1" t="str">
            <v>LUN</v>
          </cell>
        </row>
      </sheetData>
      <sheetData sheetId="42">
        <row r="1">
          <cell r="A1" t="str">
            <v>SPS</v>
          </cell>
        </row>
        <row r="16">
          <cell r="A16" t="str">
            <v>FPS</v>
          </cell>
        </row>
      </sheetData>
      <sheetData sheetId="43"/>
      <sheetData sheetId="44">
        <row r="1">
          <cell r="A1" t="str">
            <v>PRO</v>
          </cell>
        </row>
      </sheetData>
      <sheetData sheetId="45">
        <row r="1">
          <cell r="A1" t="str">
            <v>FOR</v>
          </cell>
        </row>
      </sheetData>
      <sheetData sheetId="46"/>
      <sheetData sheetId="47"/>
      <sheetData sheetId="48"/>
      <sheetData sheetId="49">
        <row r="1">
          <cell r="A1" t="str">
            <v>TRU</v>
          </cell>
        </row>
      </sheetData>
      <sheetData sheetId="50">
        <row r="1">
          <cell r="A1" t="str">
            <v>CGT</v>
          </cell>
        </row>
      </sheetData>
      <sheetData sheetId="51">
        <row r="4">
          <cell r="Q4" t="b">
            <v>0</v>
          </cell>
        </row>
        <row r="5">
          <cell r="Q5" t="b">
            <v>1</v>
          </cell>
        </row>
        <row r="6">
          <cell r="Q6" t="b">
            <v>0</v>
          </cell>
        </row>
        <row r="7">
          <cell r="Q7" t="b">
            <v>1</v>
          </cell>
        </row>
        <row r="8">
          <cell r="Q8" t="b">
            <v>0</v>
          </cell>
        </row>
        <row r="9">
          <cell r="Q9" t="b">
            <v>0</v>
          </cell>
        </row>
      </sheetData>
      <sheetData sheetId="52">
        <row r="1">
          <cell r="A1" t="str">
            <v>CAL</v>
          </cell>
        </row>
      </sheetData>
      <sheetData sheetId="53"/>
      <sheetData sheetId="54"/>
      <sheetData sheetId="55"/>
      <sheetData sheetId="56"/>
      <sheetData sheetId="57"/>
      <sheetData sheetId="58">
        <row r="136">
          <cell r="I136" t="str">
            <v>c1.58</v>
          </cell>
        </row>
      </sheetData>
      <sheetData sheetId="59"/>
      <sheetData sheetId="60"/>
      <sheetData sheetId="61">
        <row r="155">
          <cell r="D155" t="str">
            <v>c4.56</v>
          </cell>
        </row>
        <row r="162">
          <cell r="H162" t="str">
            <v>c4.59</v>
          </cell>
        </row>
        <row r="224">
          <cell r="H224" t="str">
            <v>c4.68</v>
          </cell>
        </row>
        <row r="227">
          <cell r="L227" t="str">
            <v>c4.69</v>
          </cell>
        </row>
        <row r="271">
          <cell r="L271" t="str">
            <v>c4.76</v>
          </cell>
        </row>
        <row r="305">
          <cell r="M305">
            <v>500</v>
          </cell>
        </row>
        <row r="312">
          <cell r="L312" t="str">
            <v>c4.80</v>
          </cell>
        </row>
      </sheetData>
      <sheetData sheetId="62"/>
      <sheetData sheetId="63">
        <row r="18">
          <cell r="F18" t="str">
            <v>c6.1</v>
          </cell>
          <cell r="J18" t="str">
            <v>c6.11</v>
          </cell>
          <cell r="N18" t="str">
            <v>c6.23</v>
          </cell>
          <cell r="R18" t="str">
            <v>c6.35</v>
          </cell>
        </row>
      </sheetData>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3"/>
  <sheetViews>
    <sheetView showGridLines="0" showRowColHeaders="0" tabSelected="1" zoomScaleNormal="100" workbookViewId="0">
      <selection activeCell="J5" sqref="J5"/>
    </sheetView>
  </sheetViews>
  <sheetFormatPr defaultColWidth="0" defaultRowHeight="14.4" zeroHeight="1" x14ac:dyDescent="0.3"/>
  <cols>
    <col min="1" max="1" width="8.88671875" customWidth="1"/>
    <col min="2" max="2" width="1" customWidth="1"/>
    <col min="3" max="3" width="27.5546875" bestFit="1" customWidth="1"/>
    <col min="4" max="5" width="8.88671875" customWidth="1"/>
    <col min="6" max="6" width="1" customWidth="1"/>
    <col min="7" max="7" width="4.109375" customWidth="1"/>
    <col min="8" max="8" width="1" customWidth="1"/>
    <col min="9" max="9" width="29.44140625" bestFit="1" customWidth="1"/>
    <col min="10" max="10" width="16.109375" customWidth="1"/>
    <col min="11" max="11" width="1" customWidth="1"/>
    <col min="12" max="12" width="2.33203125" customWidth="1"/>
    <col min="13" max="13" width="1" customWidth="1"/>
    <col min="14" max="14" width="31.44140625" customWidth="1"/>
    <col min="15" max="15" width="14.6640625" customWidth="1"/>
    <col min="16" max="16" width="1.109375" customWidth="1"/>
    <col min="17" max="18" width="8.88671875" customWidth="1"/>
    <col min="19" max="16384" width="8.88671875" hidden="1"/>
  </cols>
  <sheetData>
    <row r="1" spans="1:16" ht="6.6" customHeight="1" x14ac:dyDescent="0.3"/>
    <row r="2" spans="1:16" ht="6" customHeight="1" x14ac:dyDescent="0.3">
      <c r="H2" s="294"/>
      <c r="I2" s="295"/>
      <c r="J2" s="295"/>
      <c r="K2" s="296"/>
      <c r="M2" s="294"/>
      <c r="N2" s="295"/>
      <c r="O2" s="295"/>
      <c r="P2" s="296"/>
    </row>
    <row r="3" spans="1:16" x14ac:dyDescent="0.3">
      <c r="H3" s="290"/>
      <c r="I3" s="319" t="s">
        <v>609</v>
      </c>
      <c r="J3" s="319"/>
      <c r="K3" s="291"/>
      <c r="M3" s="153"/>
      <c r="N3" s="319" t="s">
        <v>610</v>
      </c>
      <c r="O3" s="319"/>
      <c r="P3" s="154"/>
    </row>
    <row r="4" spans="1:16" ht="5.4" customHeight="1" thickBot="1" x14ac:dyDescent="0.35">
      <c r="H4" s="297"/>
      <c r="I4" s="298"/>
      <c r="J4" s="298"/>
      <c r="K4" s="299"/>
      <c r="M4" s="297"/>
      <c r="N4" s="298"/>
      <c r="O4" s="298"/>
      <c r="P4" s="299"/>
    </row>
    <row r="5" spans="1:16" ht="15" thickBot="1" x14ac:dyDescent="0.35">
      <c r="H5" s="297"/>
      <c r="I5" s="298" t="s">
        <v>317</v>
      </c>
      <c r="J5" s="315"/>
      <c r="K5" s="299"/>
      <c r="M5" s="297"/>
      <c r="N5" s="298" t="s">
        <v>153</v>
      </c>
      <c r="O5" s="316" t="s">
        <v>338</v>
      </c>
      <c r="P5" s="299"/>
    </row>
    <row r="6" spans="1:16" ht="15" thickBot="1" x14ac:dyDescent="0.35">
      <c r="H6" s="297"/>
      <c r="I6" s="298"/>
      <c r="J6" s="298"/>
      <c r="K6" s="299"/>
      <c r="M6" s="297"/>
      <c r="N6" s="298"/>
      <c r="O6" s="298"/>
      <c r="P6" s="299"/>
    </row>
    <row r="7" spans="1:16" ht="15" thickBot="1" x14ac:dyDescent="0.35">
      <c r="H7" s="297"/>
      <c r="I7" s="298" t="s">
        <v>318</v>
      </c>
      <c r="J7" s="315"/>
      <c r="K7" s="299"/>
      <c r="M7" s="297"/>
      <c r="N7" s="298" t="s">
        <v>337</v>
      </c>
      <c r="O7" s="316" t="s">
        <v>339</v>
      </c>
      <c r="P7" s="299"/>
    </row>
    <row r="8" spans="1:16" ht="15" thickBot="1" x14ac:dyDescent="0.35">
      <c r="A8" s="318" t="s">
        <v>613</v>
      </c>
      <c r="B8" s="318"/>
      <c r="C8" s="318"/>
      <c r="H8" s="297"/>
      <c r="I8" s="298"/>
      <c r="J8" s="298"/>
      <c r="K8" s="299"/>
      <c r="M8" s="297"/>
      <c r="N8" s="298"/>
      <c r="O8" s="298"/>
      <c r="P8" s="299"/>
    </row>
    <row r="9" spans="1:16" ht="15" thickBot="1" x14ac:dyDescent="0.35">
      <c r="A9" s="318"/>
      <c r="B9" s="318"/>
      <c r="C9" s="318"/>
      <c r="H9" s="297"/>
      <c r="I9" s="298" t="s">
        <v>2</v>
      </c>
      <c r="J9" s="315"/>
      <c r="K9" s="299"/>
      <c r="M9" s="297"/>
      <c r="N9" s="298" t="s">
        <v>319</v>
      </c>
      <c r="O9" s="315"/>
      <c r="P9" s="299"/>
    </row>
    <row r="10" spans="1:16" ht="15" thickBot="1" x14ac:dyDescent="0.35">
      <c r="H10" s="297"/>
      <c r="I10" s="298"/>
      <c r="J10" s="298"/>
      <c r="K10" s="299"/>
      <c r="M10" s="297"/>
      <c r="N10" s="298"/>
      <c r="O10" s="298"/>
      <c r="P10" s="299"/>
    </row>
    <row r="11" spans="1:16" ht="15" thickBot="1" x14ac:dyDescent="0.35">
      <c r="H11" s="297"/>
      <c r="I11" s="298" t="s">
        <v>4</v>
      </c>
      <c r="J11" s="315"/>
      <c r="K11" s="299"/>
      <c r="M11" s="297"/>
      <c r="N11" s="298" t="s">
        <v>320</v>
      </c>
      <c r="O11" s="315"/>
      <c r="P11" s="299"/>
    </row>
    <row r="12" spans="1:16" ht="15" thickBot="1" x14ac:dyDescent="0.35">
      <c r="H12" s="297"/>
      <c r="I12" s="298"/>
      <c r="J12" s="298"/>
      <c r="K12" s="299"/>
      <c r="M12" s="297"/>
      <c r="N12" s="298"/>
      <c r="O12" s="298"/>
      <c r="P12" s="299"/>
    </row>
    <row r="13" spans="1:16" ht="15" thickBot="1" x14ac:dyDescent="0.35">
      <c r="H13" s="297"/>
      <c r="I13" s="298" t="s">
        <v>3</v>
      </c>
      <c r="J13" s="315"/>
      <c r="K13" s="299"/>
      <c r="M13" s="297"/>
      <c r="N13" s="298" t="s">
        <v>329</v>
      </c>
      <c r="O13" s="315"/>
      <c r="P13" s="299"/>
    </row>
    <row r="14" spans="1:16" ht="15" thickBot="1" x14ac:dyDescent="0.35">
      <c r="H14" s="297"/>
      <c r="I14" s="298"/>
      <c r="J14" s="298"/>
      <c r="K14" s="299"/>
      <c r="M14" s="297"/>
      <c r="N14" s="298"/>
      <c r="O14" s="298"/>
      <c r="P14" s="299"/>
    </row>
    <row r="15" spans="1:16" ht="15" thickBot="1" x14ac:dyDescent="0.35">
      <c r="H15" s="297"/>
      <c r="I15" s="298"/>
      <c r="J15" s="298"/>
      <c r="K15" s="299"/>
      <c r="M15" s="297"/>
      <c r="N15" s="298" t="s">
        <v>332</v>
      </c>
      <c r="O15" s="315"/>
      <c r="P15" s="299"/>
    </row>
    <row r="16" spans="1:16" ht="6" customHeight="1" x14ac:dyDescent="0.3">
      <c r="H16" s="300"/>
      <c r="I16" s="301"/>
      <c r="J16" s="301"/>
      <c r="K16" s="302"/>
      <c r="M16" s="300"/>
      <c r="N16" s="301"/>
      <c r="O16" s="301"/>
      <c r="P16" s="302"/>
    </row>
    <row r="17" spans="8:16" x14ac:dyDescent="0.3"/>
    <row r="18" spans="8:16" ht="6" customHeight="1" x14ac:dyDescent="0.3">
      <c r="H18" s="294"/>
      <c r="I18" s="303"/>
      <c r="J18" s="303"/>
      <c r="K18" s="296"/>
      <c r="M18" s="294"/>
      <c r="N18" s="303"/>
      <c r="O18" s="303"/>
      <c r="P18" s="296"/>
    </row>
    <row r="19" spans="8:16" x14ac:dyDescent="0.3">
      <c r="H19" s="153"/>
      <c r="I19" s="319" t="s">
        <v>611</v>
      </c>
      <c r="J19" s="319"/>
      <c r="K19" s="293"/>
      <c r="M19" s="153"/>
      <c r="N19" s="319" t="s">
        <v>612</v>
      </c>
      <c r="O19" s="319"/>
      <c r="P19" s="293"/>
    </row>
    <row r="20" spans="8:16" x14ac:dyDescent="0.3">
      <c r="H20" s="297"/>
      <c r="I20" s="304" t="s">
        <v>125</v>
      </c>
      <c r="J20" s="305">
        <f>'Stage 4'!M71</f>
        <v>11000</v>
      </c>
      <c r="K20" s="306"/>
      <c r="M20" s="297"/>
      <c r="N20" s="304" t="s">
        <v>125</v>
      </c>
      <c r="O20" s="305">
        <f>'Stage 4'!M71</f>
        <v>11000</v>
      </c>
      <c r="P20" s="306"/>
    </row>
    <row r="21" spans="8:16" ht="6" customHeight="1" x14ac:dyDescent="0.3">
      <c r="H21" s="297"/>
      <c r="I21" s="298"/>
      <c r="J21" s="298"/>
      <c r="K21" s="306"/>
      <c r="M21" s="297"/>
      <c r="N21" s="298"/>
      <c r="O21" s="298"/>
      <c r="P21" s="306"/>
    </row>
    <row r="22" spans="8:16" x14ac:dyDescent="0.3">
      <c r="H22" s="297"/>
      <c r="I22" s="304" t="s">
        <v>0</v>
      </c>
      <c r="J22" s="307"/>
      <c r="K22" s="306"/>
      <c r="M22" s="297"/>
      <c r="N22" s="304" t="s">
        <v>0</v>
      </c>
      <c r="O22" s="307"/>
      <c r="P22" s="306"/>
    </row>
    <row r="23" spans="8:16" x14ac:dyDescent="0.3">
      <c r="H23" s="297"/>
      <c r="I23" s="308" t="str">
        <f>CONCATENATE('IRIS Stage 8'!D16," @ 20%")</f>
        <v>0 @ 20%</v>
      </c>
      <c r="J23" s="309">
        <f>'IRIS Stage 8'!H16</f>
        <v>0</v>
      </c>
      <c r="K23" s="306"/>
      <c r="M23" s="297"/>
      <c r="N23" s="308" t="str">
        <f>CONCATENATE('HMRC Stage 8'!D16," @ 20%")</f>
        <v>0 @ 20%</v>
      </c>
      <c r="O23" s="309">
        <f>'HMRC Stage 8'!H16</f>
        <v>0</v>
      </c>
      <c r="P23" s="306"/>
    </row>
    <row r="24" spans="8:16" x14ac:dyDescent="0.3">
      <c r="H24" s="297"/>
      <c r="I24" s="310" t="str">
        <f>CONCATENATE('IRIS Stage 8'!D25," @ 40%")</f>
        <v>0 @ 40%</v>
      </c>
      <c r="J24" s="309">
        <f>'IRIS Stage 8'!H25</f>
        <v>0</v>
      </c>
      <c r="K24" s="306"/>
      <c r="M24" s="297"/>
      <c r="N24" s="310" t="str">
        <f>CONCATENATE('HMRC Stage 8'!D25," @ 40%")</f>
        <v>0 @ 40%</v>
      </c>
      <c r="O24" s="309">
        <f>'HMRC Stage 8'!H25</f>
        <v>0</v>
      </c>
      <c r="P24" s="306"/>
    </row>
    <row r="25" spans="8:16" x14ac:dyDescent="0.3">
      <c r="H25" s="297"/>
      <c r="I25" s="311" t="str">
        <f>CONCATENATE('IRIS Stage 8'!D34," @ 45%")</f>
        <v>0 @ 45%</v>
      </c>
      <c r="J25" s="309">
        <f>'IRIS Stage 8'!H34</f>
        <v>0</v>
      </c>
      <c r="K25" s="306"/>
      <c r="M25" s="297"/>
      <c r="N25" s="311" t="str">
        <f>CONCATENATE('HMRC Stage 8'!D34," @ 45%")</f>
        <v>0 @ 45%</v>
      </c>
      <c r="O25" s="309">
        <f>'HMRC Stage 8'!H34</f>
        <v>0</v>
      </c>
      <c r="P25" s="306"/>
    </row>
    <row r="26" spans="8:16" ht="6" customHeight="1" x14ac:dyDescent="0.3">
      <c r="H26" s="297"/>
      <c r="I26" s="298"/>
      <c r="J26" s="309"/>
      <c r="K26" s="306"/>
      <c r="M26" s="297"/>
      <c r="N26" s="298"/>
      <c r="O26" s="309"/>
      <c r="P26" s="306"/>
    </row>
    <row r="27" spans="8:16" x14ac:dyDescent="0.3">
      <c r="H27" s="297"/>
      <c r="I27" s="304" t="s">
        <v>1</v>
      </c>
      <c r="J27" s="309"/>
      <c r="K27" s="306"/>
      <c r="M27" s="297"/>
      <c r="N27" s="304" t="s">
        <v>1</v>
      </c>
      <c r="O27" s="309"/>
      <c r="P27" s="306"/>
    </row>
    <row r="28" spans="8:16" x14ac:dyDescent="0.3">
      <c r="H28" s="297"/>
      <c r="I28" s="312" t="str">
        <f>CONCATENATE('IRIS Stage 8'!D39," @ 0%")</f>
        <v>0 @ 0%</v>
      </c>
      <c r="J28" s="309">
        <f>'IRIS Stage 8'!H39</f>
        <v>0</v>
      </c>
      <c r="K28" s="306"/>
      <c r="M28" s="297"/>
      <c r="N28" s="312" t="str">
        <f>CONCATENATE('HMRC Stage 8'!D39," @ 0%")</f>
        <v>0 @ 0%</v>
      </c>
      <c r="O28" s="309">
        <f>'HMRC Stage 8'!H39</f>
        <v>0</v>
      </c>
      <c r="P28" s="306"/>
    </row>
    <row r="29" spans="8:16" x14ac:dyDescent="0.3">
      <c r="H29" s="297"/>
      <c r="I29" s="312" t="str">
        <f>CONCATENATE('IRIS Stage 8'!D42," @ 0%")</f>
        <v>0 @ 0%</v>
      </c>
      <c r="J29" s="309">
        <f>'IRIS Stage 8'!H42</f>
        <v>0</v>
      </c>
      <c r="K29" s="306"/>
      <c r="M29" s="297"/>
      <c r="N29" s="312" t="str">
        <f>CONCATENATE('HMRC Stage 8'!D42," @ 0%")</f>
        <v>0 @ 0%</v>
      </c>
      <c r="O29" s="309">
        <f>'HMRC Stage 8'!H42</f>
        <v>0</v>
      </c>
      <c r="P29" s="306"/>
    </row>
    <row r="30" spans="8:16" x14ac:dyDescent="0.3">
      <c r="H30" s="297"/>
      <c r="I30" s="312" t="str">
        <f>CONCATENATE('IRIS Stage 8'!D45," @ 20%")</f>
        <v>0 @ 20%</v>
      </c>
      <c r="J30" s="309">
        <f>'IRIS Stage 8'!H45</f>
        <v>0</v>
      </c>
      <c r="K30" s="306"/>
      <c r="M30" s="297"/>
      <c r="N30" s="312" t="str">
        <f>CONCATENATE('HMRC Stage 8'!D45," @ 20%")</f>
        <v>0 @ 20%</v>
      </c>
      <c r="O30" s="309">
        <f>'HMRC Stage 8'!H45</f>
        <v>0</v>
      </c>
      <c r="P30" s="306"/>
    </row>
    <row r="31" spans="8:16" x14ac:dyDescent="0.3">
      <c r="H31" s="297"/>
      <c r="I31" s="313" t="str">
        <f>CONCATENATE('IRIS Stage 8'!D48," @ 40%")</f>
        <v>0 @ 40%</v>
      </c>
      <c r="J31" s="309">
        <f>'IRIS Stage 8'!H48</f>
        <v>0</v>
      </c>
      <c r="K31" s="306"/>
      <c r="M31" s="297"/>
      <c r="N31" s="313" t="str">
        <f>CONCATENATE('HMRC Stage 8'!D48," @ 40%")</f>
        <v>0 @ 40%</v>
      </c>
      <c r="O31" s="309">
        <f>'HMRC Stage 8'!H48</f>
        <v>0</v>
      </c>
      <c r="P31" s="306"/>
    </row>
    <row r="32" spans="8:16" x14ac:dyDescent="0.3">
      <c r="H32" s="297"/>
      <c r="I32" s="313" t="str">
        <f>CONCATENATE('IRIS Stage 8'!D51," @ 45%")</f>
        <v>0 @ 45%</v>
      </c>
      <c r="J32" s="309">
        <f>'IRIS Stage 8'!H51</f>
        <v>0</v>
      </c>
      <c r="K32" s="306"/>
      <c r="M32" s="297"/>
      <c r="N32" s="313" t="str">
        <f>CONCATENATE('HMRC Stage 8'!D51," @ 45%")</f>
        <v>0 @ 45%</v>
      </c>
      <c r="O32" s="309">
        <f>'HMRC Stage 8'!H51</f>
        <v>0</v>
      </c>
      <c r="P32" s="306"/>
    </row>
    <row r="33" spans="8:16" ht="9.6" customHeight="1" x14ac:dyDescent="0.3">
      <c r="H33" s="297"/>
      <c r="I33" s="298"/>
      <c r="J33" s="309"/>
      <c r="K33" s="306"/>
      <c r="M33" s="297"/>
      <c r="N33" s="298"/>
      <c r="O33" s="309"/>
      <c r="P33" s="306"/>
    </row>
    <row r="34" spans="8:16" x14ac:dyDescent="0.3">
      <c r="H34" s="297"/>
      <c r="I34" s="304" t="s">
        <v>2</v>
      </c>
      <c r="J34" s="309"/>
      <c r="K34" s="306"/>
      <c r="M34" s="297"/>
      <c r="N34" s="304" t="s">
        <v>2</v>
      </c>
      <c r="O34" s="309"/>
      <c r="P34" s="306"/>
    </row>
    <row r="35" spans="8:16" x14ac:dyDescent="0.3">
      <c r="H35" s="297"/>
      <c r="I35" s="313" t="str">
        <f>CONCATENATE('IRIS Stage 8'!D56," @ 0%")</f>
        <v>0 @ 0%</v>
      </c>
      <c r="J35" s="309">
        <f>'IRIS Stage 8'!H56</f>
        <v>0</v>
      </c>
      <c r="K35" s="306"/>
      <c r="M35" s="297"/>
      <c r="N35" s="313" t="str">
        <f>CONCATENATE('HMRC Stage 8'!D56," @ 0%")</f>
        <v>0 @ 0%</v>
      </c>
      <c r="O35" s="309">
        <f>'HMRC Stage 8'!H56</f>
        <v>0</v>
      </c>
      <c r="P35" s="306"/>
    </row>
    <row r="36" spans="8:16" x14ac:dyDescent="0.3">
      <c r="H36" s="297"/>
      <c r="I36" s="313" t="str">
        <f>CONCATENATE('IRIS Stage 8'!D59," @ 7.5%")</f>
        <v>0 @ 7.5%</v>
      </c>
      <c r="J36" s="309">
        <f>'IRIS Stage 8'!H59</f>
        <v>0</v>
      </c>
      <c r="K36" s="306"/>
      <c r="M36" s="297"/>
      <c r="N36" s="313" t="str">
        <f>CONCATENATE('HMRC Stage 8'!D59," @ 7.5%")</f>
        <v>0 @ 7.5%</v>
      </c>
      <c r="O36" s="309">
        <f>'HMRC Stage 8'!H59</f>
        <v>0</v>
      </c>
      <c r="P36" s="306"/>
    </row>
    <row r="37" spans="8:16" x14ac:dyDescent="0.3">
      <c r="H37" s="297"/>
      <c r="I37" s="312" t="str">
        <f>CONCATENATE('IRIS Stage 8'!D62," @ 32.5%")</f>
        <v>0 @ 32.5%</v>
      </c>
      <c r="J37" s="309">
        <f>'IRIS Stage 8'!H62</f>
        <v>0</v>
      </c>
      <c r="K37" s="306"/>
      <c r="M37" s="297"/>
      <c r="N37" s="312" t="str">
        <f>CONCATENATE('HMRC Stage 8'!D62," @ 32.5%")</f>
        <v>0 @ 32.5%</v>
      </c>
      <c r="O37" s="309">
        <f>'HMRC Stage 8'!H62</f>
        <v>0</v>
      </c>
      <c r="P37" s="306"/>
    </row>
    <row r="38" spans="8:16" x14ac:dyDescent="0.3">
      <c r="H38" s="297"/>
      <c r="I38" s="312" t="str">
        <f>CONCATENATE('IRIS Stage 8'!D65," @ 38.1%")</f>
        <v>0 @ 38.1%</v>
      </c>
      <c r="J38" s="309">
        <f>'IRIS Stage 8'!H65</f>
        <v>0</v>
      </c>
      <c r="K38" s="306"/>
      <c r="M38" s="297"/>
      <c r="N38" s="312" t="str">
        <f>CONCATENATE('HMRC Stage 8'!D65," @ 38.1%")</f>
        <v>0 @ 38.1%</v>
      </c>
      <c r="O38" s="309">
        <f>'HMRC Stage 8'!H65</f>
        <v>0</v>
      </c>
      <c r="P38" s="306"/>
    </row>
    <row r="39" spans="8:16" x14ac:dyDescent="0.3">
      <c r="H39" s="297"/>
      <c r="I39" s="298"/>
      <c r="J39" s="298"/>
      <c r="K39" s="306"/>
      <c r="M39" s="297"/>
      <c r="N39" s="298"/>
      <c r="O39" s="298"/>
      <c r="P39" s="306"/>
    </row>
    <row r="40" spans="8:16" x14ac:dyDescent="0.3">
      <c r="H40" s="297"/>
      <c r="I40" s="304" t="s">
        <v>594</v>
      </c>
      <c r="J40" s="314">
        <f>'IRIS Stage 8'!H78</f>
        <v>0</v>
      </c>
      <c r="K40" s="306"/>
      <c r="M40" s="297"/>
      <c r="N40" s="304" t="s">
        <v>594</v>
      </c>
      <c r="O40" s="314">
        <f>'HMRC Stage 8'!H78</f>
        <v>0</v>
      </c>
      <c r="P40" s="306"/>
    </row>
    <row r="41" spans="8:16" ht="6" customHeight="1" x14ac:dyDescent="0.3">
      <c r="H41" s="300"/>
      <c r="I41" s="301"/>
      <c r="J41" s="301"/>
      <c r="K41" s="302"/>
      <c r="M41" s="300"/>
      <c r="N41" s="301"/>
      <c r="O41" s="301"/>
      <c r="P41" s="302"/>
    </row>
    <row r="42" spans="8:16" x14ac:dyDescent="0.3">
      <c r="I42" s="317" t="str">
        <f>IF(J40=O40,"","THIS RETURN SHOULD NOT BE SUBMITTED ONLINE")</f>
        <v/>
      </c>
      <c r="J42" s="317"/>
      <c r="K42" s="317"/>
      <c r="L42" s="317"/>
      <c r="M42" s="317"/>
      <c r="N42" s="317"/>
      <c r="O42" s="317"/>
    </row>
    <row r="43" spans="8:16" x14ac:dyDescent="0.3">
      <c r="I43" s="317"/>
      <c r="J43" s="317"/>
      <c r="K43" s="317"/>
      <c r="L43" s="317"/>
      <c r="M43" s="317"/>
      <c r="N43" s="317"/>
      <c r="O43" s="317"/>
    </row>
  </sheetData>
  <sheetProtection algorithmName="SHA-512" hashValue="WNkBJbYQhFQWLgEmWsP/zBkmr3Wy6Tj+UZAtIesWdi0Osnrn7A0mOrcvdCCMZ8OBbFAOtNRu9rj4f8Ck/GgiJQ==" saltValue="UmOaOOTQ/yxJS2BNSd4kMQ==" spinCount="100000" sheet="1" objects="1" scenarios="1" selectLockedCells="1"/>
  <mergeCells count="6">
    <mergeCell ref="I42:O43"/>
    <mergeCell ref="A8:C9"/>
    <mergeCell ref="I3:J3"/>
    <mergeCell ref="N3:O3"/>
    <mergeCell ref="I19:J19"/>
    <mergeCell ref="N19:O19"/>
  </mergeCells>
  <conditionalFormatting sqref="O40 J40">
    <cfRule type="uniqueValues" dxfId="0" priority="1"/>
  </conditionalFormatting>
  <dataValidations count="3">
    <dataValidation type="list" allowBlank="1" showInputMessage="1" showErrorMessage="1" sqref="O5">
      <formula1>"Claimed, Not Claimed"</formula1>
    </dataValidation>
    <dataValidation type="list" allowBlank="1" showInputMessage="1" showErrorMessage="1" sqref="O7">
      <formula1>"Transferor, Not Applicable"</formula1>
    </dataValidation>
    <dataValidation type="decimal" operator="greaterThan" allowBlank="1" showInputMessage="1" showErrorMessage="1" sqref="J9 J11 J13 J7 J5 O9 O11 O13 O15">
      <formula1>-1</formula1>
    </dataValidation>
  </dataValidations>
  <pageMargins left="0.7" right="0.7" top="0.75" bottom="0.75" header="0.3" footer="0.3"/>
  <pageSetup paperSize="9" scale="89" orientation="portrait" horizontalDpi="4294967293" verticalDpi="0" r:id="rId1"/>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K85"/>
  <sheetViews>
    <sheetView topLeftCell="B1" zoomScale="115" zoomScaleNormal="115" workbookViewId="0">
      <selection activeCell="D8" sqref="D8"/>
    </sheetView>
  </sheetViews>
  <sheetFormatPr defaultRowHeight="14.4" x14ac:dyDescent="0.3"/>
  <cols>
    <col min="2" max="2" width="54.44140625" bestFit="1" customWidth="1"/>
    <col min="3" max="3" width="22.44140625" bestFit="1" customWidth="1"/>
    <col min="6" max="6" width="29" bestFit="1" customWidth="1"/>
    <col min="8" max="8" width="14.6640625" bestFit="1" customWidth="1"/>
  </cols>
  <sheetData>
    <row r="2" spans="2:11" x14ac:dyDescent="0.3">
      <c r="B2" s="2" t="s">
        <v>5</v>
      </c>
      <c r="C2" s="3"/>
      <c r="D2" s="3"/>
      <c r="F2" s="51" t="s">
        <v>163</v>
      </c>
      <c r="G2" s="3"/>
      <c r="H2" s="52" t="s">
        <v>164</v>
      </c>
      <c r="I2" s="52" t="s">
        <v>165</v>
      </c>
      <c r="J2" s="52" t="s">
        <v>166</v>
      </c>
      <c r="K2" s="52" t="s">
        <v>167</v>
      </c>
    </row>
    <row r="3" spans="2:11" x14ac:dyDescent="0.3">
      <c r="B3" s="4" t="s">
        <v>6</v>
      </c>
      <c r="C3" s="5" t="s">
        <v>7</v>
      </c>
      <c r="D3" s="6">
        <v>0.12</v>
      </c>
      <c r="F3" s="53" t="s">
        <v>168</v>
      </c>
      <c r="G3" s="53" t="s">
        <v>169</v>
      </c>
      <c r="H3" s="54">
        <v>1.08108108108109</v>
      </c>
      <c r="I3" s="55" t="s">
        <v>170</v>
      </c>
      <c r="J3" s="55">
        <v>92.5</v>
      </c>
      <c r="K3" s="56">
        <v>7.4999999999999997E-2</v>
      </c>
    </row>
    <row r="4" spans="2:11" x14ac:dyDescent="0.3">
      <c r="B4" s="4" t="s">
        <v>8</v>
      </c>
      <c r="C4" s="7" t="s">
        <v>9</v>
      </c>
      <c r="D4" s="6">
        <v>0.09</v>
      </c>
      <c r="F4" s="57" t="s">
        <v>171</v>
      </c>
      <c r="G4" s="57" t="s">
        <v>172</v>
      </c>
      <c r="H4" s="57">
        <v>1.25</v>
      </c>
      <c r="I4" s="58" t="s">
        <v>173</v>
      </c>
      <c r="J4" s="58">
        <v>80</v>
      </c>
      <c r="K4" s="59">
        <v>0.2</v>
      </c>
    </row>
    <row r="5" spans="2:11" x14ac:dyDescent="0.3">
      <c r="B5" s="4" t="s">
        <v>10</v>
      </c>
      <c r="C5" s="7" t="s">
        <v>11</v>
      </c>
      <c r="D5" s="6">
        <v>0.02</v>
      </c>
      <c r="F5" s="57" t="s">
        <v>174</v>
      </c>
      <c r="G5" s="57" t="s">
        <v>175</v>
      </c>
      <c r="H5" s="57">
        <v>1.25</v>
      </c>
      <c r="I5" s="58" t="s">
        <v>173</v>
      </c>
      <c r="J5" s="58">
        <v>80</v>
      </c>
      <c r="K5" s="59">
        <v>0.2</v>
      </c>
    </row>
    <row r="6" spans="2:11" x14ac:dyDescent="0.3">
      <c r="B6" s="8" t="s">
        <v>12</v>
      </c>
      <c r="C6" s="9" t="s">
        <v>13</v>
      </c>
      <c r="D6" s="10">
        <v>0.09</v>
      </c>
      <c r="F6" s="60" t="s">
        <v>176</v>
      </c>
      <c r="G6" s="60" t="s">
        <v>177</v>
      </c>
      <c r="H6" s="61">
        <v>1.6666666666666701</v>
      </c>
      <c r="I6" s="60" t="s">
        <v>178</v>
      </c>
      <c r="J6" s="60">
        <v>60</v>
      </c>
      <c r="K6" s="62">
        <v>0.4</v>
      </c>
    </row>
    <row r="7" spans="2:11" x14ac:dyDescent="0.3">
      <c r="B7" s="11" t="s">
        <v>14</v>
      </c>
      <c r="C7" s="7" t="s">
        <v>15</v>
      </c>
      <c r="D7" s="6">
        <v>0</v>
      </c>
      <c r="F7" s="63" t="s">
        <v>179</v>
      </c>
      <c r="G7" s="63" t="s">
        <v>180</v>
      </c>
      <c r="H7" s="64">
        <v>1.4814814814814814</v>
      </c>
      <c r="I7" s="63" t="s">
        <v>181</v>
      </c>
      <c r="J7" s="63">
        <v>67.5</v>
      </c>
      <c r="K7" s="65">
        <v>0.32500000000000001</v>
      </c>
    </row>
    <row r="8" spans="2:11" ht="22.8" x14ac:dyDescent="0.3">
      <c r="B8" s="11" t="s">
        <v>16</v>
      </c>
      <c r="C8" s="12" t="s">
        <v>17</v>
      </c>
      <c r="D8" s="13">
        <v>0</v>
      </c>
      <c r="F8" s="57" t="s">
        <v>182</v>
      </c>
      <c r="G8" s="66" t="s">
        <v>183</v>
      </c>
      <c r="H8" s="67">
        <v>1.2820512820512822</v>
      </c>
      <c r="I8" s="68" t="s">
        <v>184</v>
      </c>
      <c r="J8" s="68">
        <v>78</v>
      </c>
      <c r="K8" s="69">
        <v>0.22</v>
      </c>
    </row>
    <row r="9" spans="2:11" x14ac:dyDescent="0.3">
      <c r="B9" s="14" t="s">
        <v>18</v>
      </c>
      <c r="C9" s="7" t="s">
        <v>19</v>
      </c>
      <c r="D9" s="15">
        <v>0.22</v>
      </c>
      <c r="F9" s="57" t="s">
        <v>185</v>
      </c>
      <c r="G9" s="57" t="s">
        <v>186</v>
      </c>
      <c r="H9" s="70">
        <v>1.8181818181818181</v>
      </c>
      <c r="I9" s="58" t="s">
        <v>187</v>
      </c>
      <c r="J9" s="58">
        <v>55</v>
      </c>
      <c r="K9" s="59">
        <v>0.45</v>
      </c>
    </row>
    <row r="10" spans="2:11" x14ac:dyDescent="0.3">
      <c r="B10" s="16" t="s">
        <v>20</v>
      </c>
      <c r="C10" s="7" t="s">
        <v>21</v>
      </c>
      <c r="D10" s="6">
        <v>0.2</v>
      </c>
      <c r="F10" s="53" t="s">
        <v>188</v>
      </c>
      <c r="G10" s="53" t="s">
        <v>189</v>
      </c>
      <c r="H10" s="54">
        <v>1.6155088852988799</v>
      </c>
      <c r="I10" s="55" t="s">
        <v>190</v>
      </c>
      <c r="J10" s="55">
        <v>61.9</v>
      </c>
      <c r="K10" s="71">
        <v>0.38100000000000001</v>
      </c>
    </row>
    <row r="11" spans="2:11" x14ac:dyDescent="0.3">
      <c r="B11" s="8" t="s">
        <v>22</v>
      </c>
      <c r="C11" s="9" t="s">
        <v>23</v>
      </c>
      <c r="D11" s="10">
        <v>0.4</v>
      </c>
      <c r="F11" s="57" t="s">
        <v>191</v>
      </c>
      <c r="G11" s="57" t="s">
        <v>192</v>
      </c>
      <c r="H11" s="57">
        <v>1.25</v>
      </c>
      <c r="I11" s="58" t="s">
        <v>173</v>
      </c>
      <c r="J11" s="58">
        <v>80</v>
      </c>
      <c r="K11" s="59">
        <v>0.2</v>
      </c>
    </row>
    <row r="12" spans="2:11" x14ac:dyDescent="0.3">
      <c r="B12" s="16" t="s">
        <v>24</v>
      </c>
      <c r="C12" s="7" t="s">
        <v>25</v>
      </c>
      <c r="D12" s="6">
        <v>0.45</v>
      </c>
    </row>
    <row r="13" spans="2:11" x14ac:dyDescent="0.3">
      <c r="B13" s="16" t="s">
        <v>26</v>
      </c>
      <c r="C13" s="17" t="s">
        <v>27</v>
      </c>
      <c r="D13" s="13">
        <v>0.2</v>
      </c>
    </row>
    <row r="14" spans="2:11" x14ac:dyDescent="0.3">
      <c r="B14" s="16" t="s">
        <v>28</v>
      </c>
      <c r="C14" s="17" t="s">
        <v>29</v>
      </c>
      <c r="D14" s="13">
        <v>0.4</v>
      </c>
    </row>
    <row r="15" spans="2:11" x14ac:dyDescent="0.3">
      <c r="B15" s="16" t="s">
        <v>30</v>
      </c>
      <c r="C15" s="17" t="s">
        <v>31</v>
      </c>
      <c r="D15" s="13">
        <v>0.45</v>
      </c>
    </row>
    <row r="16" spans="2:11" x14ac:dyDescent="0.3">
      <c r="B16" s="18" t="s">
        <v>32</v>
      </c>
      <c r="C16" s="19" t="s">
        <v>33</v>
      </c>
      <c r="D16" s="20">
        <v>0.1</v>
      </c>
    </row>
    <row r="17" spans="2:4" x14ac:dyDescent="0.3">
      <c r="B17" s="21" t="s">
        <v>34</v>
      </c>
      <c r="C17" s="22" t="s">
        <v>35</v>
      </c>
      <c r="D17" s="23">
        <v>0.1</v>
      </c>
    </row>
    <row r="18" spans="2:4" x14ac:dyDescent="0.3">
      <c r="B18" s="24" t="s">
        <v>36</v>
      </c>
      <c r="C18" s="25" t="s">
        <v>37</v>
      </c>
      <c r="D18" s="26">
        <v>0.32500000000000001</v>
      </c>
    </row>
    <row r="19" spans="2:4" x14ac:dyDescent="0.3">
      <c r="B19" s="24" t="s">
        <v>38</v>
      </c>
      <c r="C19" s="25" t="s">
        <v>39</v>
      </c>
      <c r="D19" s="26">
        <v>0.375</v>
      </c>
    </row>
    <row r="20" spans="2:4" x14ac:dyDescent="0.3">
      <c r="B20" s="8" t="s">
        <v>40</v>
      </c>
      <c r="C20" s="27" t="s">
        <v>41</v>
      </c>
      <c r="D20" s="13">
        <v>0</v>
      </c>
    </row>
    <row r="21" spans="2:4" x14ac:dyDescent="0.3">
      <c r="B21" s="8" t="s">
        <v>42</v>
      </c>
      <c r="C21" s="27" t="s">
        <v>43</v>
      </c>
      <c r="D21" s="28">
        <v>7.4999999999999997E-2</v>
      </c>
    </row>
    <row r="22" spans="2:4" x14ac:dyDescent="0.3">
      <c r="B22" s="8" t="s">
        <v>44</v>
      </c>
      <c r="C22" s="27" t="s">
        <v>45</v>
      </c>
      <c r="D22" s="28">
        <v>0.32500000000000001</v>
      </c>
    </row>
    <row r="23" spans="2:4" x14ac:dyDescent="0.3">
      <c r="B23" s="8" t="s">
        <v>46</v>
      </c>
      <c r="C23" s="27" t="s">
        <v>47</v>
      </c>
      <c r="D23" s="28">
        <v>0.38100000000000001</v>
      </c>
    </row>
    <row r="24" spans="2:4" x14ac:dyDescent="0.3">
      <c r="B24" s="14" t="s">
        <v>48</v>
      </c>
      <c r="C24" s="7" t="s">
        <v>49</v>
      </c>
      <c r="D24" s="15">
        <v>0.3</v>
      </c>
    </row>
    <row r="25" spans="2:4" x14ac:dyDescent="0.3">
      <c r="B25" s="14" t="s">
        <v>50</v>
      </c>
      <c r="C25" s="7" t="s">
        <v>51</v>
      </c>
      <c r="D25" s="6">
        <v>0.3</v>
      </c>
    </row>
    <row r="26" spans="2:4" x14ac:dyDescent="0.3">
      <c r="B26" s="29" t="s">
        <v>52</v>
      </c>
      <c r="C26" s="9" t="s">
        <v>53</v>
      </c>
      <c r="D26" s="30">
        <v>0.5</v>
      </c>
    </row>
    <row r="27" spans="2:4" x14ac:dyDescent="0.3">
      <c r="B27" s="14" t="s">
        <v>54</v>
      </c>
      <c r="C27" s="7" t="s">
        <v>55</v>
      </c>
      <c r="D27" s="6">
        <v>0.05</v>
      </c>
    </row>
    <row r="28" spans="2:4" x14ac:dyDescent="0.3">
      <c r="B28" s="14" t="s">
        <v>56</v>
      </c>
      <c r="C28" s="7" t="s">
        <v>57</v>
      </c>
      <c r="D28" s="15">
        <v>0.3</v>
      </c>
    </row>
    <row r="29" spans="2:4" x14ac:dyDescent="0.3">
      <c r="B29" s="4" t="s">
        <v>58</v>
      </c>
      <c r="C29" s="7" t="s">
        <v>59</v>
      </c>
      <c r="D29" s="6">
        <v>0.1</v>
      </c>
    </row>
    <row r="30" spans="2:4" x14ac:dyDescent="0.3">
      <c r="B30" s="4" t="s">
        <v>60</v>
      </c>
      <c r="C30" s="7" t="s">
        <v>61</v>
      </c>
      <c r="D30" s="15">
        <v>0.1</v>
      </c>
    </row>
    <row r="31" spans="2:4" x14ac:dyDescent="0.3">
      <c r="B31" s="4" t="s">
        <v>62</v>
      </c>
      <c r="C31" s="7" t="s">
        <v>63</v>
      </c>
      <c r="D31" s="31">
        <v>0.1</v>
      </c>
    </row>
    <row r="32" spans="2:4" x14ac:dyDescent="0.3">
      <c r="B32" s="4" t="s">
        <v>64</v>
      </c>
      <c r="C32" s="7" t="s">
        <v>65</v>
      </c>
      <c r="D32" s="31">
        <v>0.2</v>
      </c>
    </row>
    <row r="33" spans="2:4" x14ac:dyDescent="0.3">
      <c r="B33" s="16" t="s">
        <v>66</v>
      </c>
      <c r="C33" s="17" t="s">
        <v>67</v>
      </c>
      <c r="D33" s="32">
        <v>0.18</v>
      </c>
    </row>
    <row r="34" spans="2:4" x14ac:dyDescent="0.3">
      <c r="B34" s="16" t="s">
        <v>68</v>
      </c>
      <c r="C34" s="17" t="s">
        <v>69</v>
      </c>
      <c r="D34" s="32">
        <v>0.28000000000000003</v>
      </c>
    </row>
    <row r="35" spans="2:4" x14ac:dyDescent="0.3">
      <c r="B35" s="3"/>
      <c r="C35" s="3"/>
      <c r="D35" s="3"/>
    </row>
    <row r="36" spans="2:4" x14ac:dyDescent="0.3">
      <c r="B36" s="33" t="s">
        <v>70</v>
      </c>
      <c r="C36" s="34"/>
      <c r="D36" s="34"/>
    </row>
    <row r="37" spans="2:4" x14ac:dyDescent="0.3">
      <c r="B37" s="4" t="s">
        <v>71</v>
      </c>
      <c r="C37" s="7" t="s">
        <v>72</v>
      </c>
      <c r="D37" s="35">
        <v>5000</v>
      </c>
    </row>
    <row r="38" spans="2:4" x14ac:dyDescent="0.3">
      <c r="B38" s="4" t="s">
        <v>73</v>
      </c>
      <c r="C38" s="7" t="s">
        <v>74</v>
      </c>
      <c r="D38" s="36">
        <v>27000</v>
      </c>
    </row>
    <row r="39" spans="2:4" x14ac:dyDescent="0.3">
      <c r="B39" s="14" t="s">
        <v>75</v>
      </c>
      <c r="C39" s="7" t="s">
        <v>76</v>
      </c>
      <c r="D39" s="36">
        <v>32000</v>
      </c>
    </row>
    <row r="40" spans="2:4" x14ac:dyDescent="0.3">
      <c r="B40" s="14" t="s">
        <v>77</v>
      </c>
      <c r="C40" s="7" t="s">
        <v>78</v>
      </c>
      <c r="D40" s="37">
        <v>32000</v>
      </c>
    </row>
    <row r="41" spans="2:4" x14ac:dyDescent="0.3">
      <c r="B41" s="4" t="s">
        <v>79</v>
      </c>
      <c r="C41" s="7" t="s">
        <v>80</v>
      </c>
      <c r="D41" s="36">
        <v>118000</v>
      </c>
    </row>
    <row r="42" spans="2:4" x14ac:dyDescent="0.3">
      <c r="B42" s="14" t="s">
        <v>81</v>
      </c>
      <c r="C42" s="7" t="s">
        <v>82</v>
      </c>
      <c r="D42" s="35">
        <v>150000</v>
      </c>
    </row>
    <row r="43" spans="2:4" x14ac:dyDescent="0.3">
      <c r="B43" s="4" t="s">
        <v>83</v>
      </c>
      <c r="C43" s="5" t="s">
        <v>84</v>
      </c>
      <c r="D43" s="38">
        <v>2.8</v>
      </c>
    </row>
    <row r="44" spans="2:4" x14ac:dyDescent="0.3">
      <c r="B44" s="4" t="s">
        <v>85</v>
      </c>
      <c r="C44" s="5" t="s">
        <v>86</v>
      </c>
      <c r="D44" s="38">
        <v>148.4</v>
      </c>
    </row>
    <row r="45" spans="2:4" x14ac:dyDescent="0.3">
      <c r="B45" s="39" t="s">
        <v>87</v>
      </c>
      <c r="C45" s="40" t="s">
        <v>88</v>
      </c>
      <c r="D45" s="41">
        <v>3.45</v>
      </c>
    </row>
    <row r="46" spans="2:4" x14ac:dyDescent="0.3">
      <c r="B46" s="39" t="s">
        <v>89</v>
      </c>
      <c r="C46" s="40" t="s">
        <v>90</v>
      </c>
      <c r="D46" s="41">
        <v>182.85</v>
      </c>
    </row>
    <row r="47" spans="2:4" x14ac:dyDescent="0.3">
      <c r="B47" s="4" t="s">
        <v>91</v>
      </c>
      <c r="C47" s="5" t="s">
        <v>92</v>
      </c>
      <c r="D47" s="38">
        <v>5965</v>
      </c>
    </row>
    <row r="48" spans="2:4" x14ac:dyDescent="0.3">
      <c r="B48" s="14" t="s">
        <v>93</v>
      </c>
      <c r="C48" s="7" t="s">
        <v>94</v>
      </c>
      <c r="D48" s="36">
        <v>43000</v>
      </c>
    </row>
    <row r="49" spans="2:4" x14ac:dyDescent="0.3">
      <c r="B49" s="14" t="s">
        <v>95</v>
      </c>
      <c r="C49" s="7" t="s">
        <v>96</v>
      </c>
      <c r="D49" s="35">
        <v>8060</v>
      </c>
    </row>
    <row r="50" spans="2:4" x14ac:dyDescent="0.3">
      <c r="B50" s="14" t="s">
        <v>97</v>
      </c>
      <c r="C50" s="7" t="s">
        <v>98</v>
      </c>
      <c r="D50" s="36">
        <v>34940</v>
      </c>
    </row>
    <row r="51" spans="2:4" x14ac:dyDescent="0.3">
      <c r="B51" s="14" t="s">
        <v>99</v>
      </c>
      <c r="C51" s="7" t="s">
        <v>100</v>
      </c>
      <c r="D51" s="42">
        <v>3144.6</v>
      </c>
    </row>
    <row r="52" spans="2:4" x14ac:dyDescent="0.3">
      <c r="B52" s="16" t="s">
        <v>101</v>
      </c>
      <c r="C52" s="17" t="s">
        <v>102</v>
      </c>
      <c r="D52" s="37">
        <v>17495</v>
      </c>
    </row>
    <row r="53" spans="2:4" x14ac:dyDescent="0.3">
      <c r="B53" s="16" t="s">
        <v>103</v>
      </c>
      <c r="C53" s="17" t="s">
        <v>104</v>
      </c>
      <c r="D53" s="37">
        <v>21000</v>
      </c>
    </row>
    <row r="54" spans="2:4" x14ac:dyDescent="0.3">
      <c r="B54" s="4" t="s">
        <v>105</v>
      </c>
      <c r="C54" s="7" t="s">
        <v>106</v>
      </c>
      <c r="D54" s="35">
        <v>2000</v>
      </c>
    </row>
    <row r="55" spans="2:4" x14ac:dyDescent="0.3">
      <c r="B55" s="3"/>
      <c r="C55" s="3"/>
      <c r="D55" s="3"/>
    </row>
    <row r="56" spans="2:4" x14ac:dyDescent="0.3">
      <c r="B56" s="43" t="s">
        <v>107</v>
      </c>
      <c r="C56" s="3"/>
      <c r="D56" s="3"/>
    </row>
    <row r="57" spans="2:4" x14ac:dyDescent="0.3">
      <c r="B57" s="14" t="s">
        <v>108</v>
      </c>
      <c r="C57" s="7" t="s">
        <v>109</v>
      </c>
      <c r="D57" s="44">
        <v>1000</v>
      </c>
    </row>
    <row r="58" spans="2:4" x14ac:dyDescent="0.3">
      <c r="B58" s="4" t="s">
        <v>110</v>
      </c>
      <c r="C58" s="7" t="s">
        <v>111</v>
      </c>
      <c r="D58" s="44">
        <v>30000</v>
      </c>
    </row>
    <row r="59" spans="2:4" x14ac:dyDescent="0.3">
      <c r="B59" s="14" t="s">
        <v>112</v>
      </c>
      <c r="C59" s="7" t="s">
        <v>113</v>
      </c>
      <c r="D59" s="35">
        <v>60000</v>
      </c>
    </row>
    <row r="60" spans="2:4" x14ac:dyDescent="0.3">
      <c r="B60" s="4" t="s">
        <v>114</v>
      </c>
      <c r="C60" s="5" t="s">
        <v>115</v>
      </c>
      <c r="D60" s="45">
        <v>90000</v>
      </c>
    </row>
    <row r="61" spans="2:4" x14ac:dyDescent="0.3">
      <c r="B61" s="4" t="s">
        <v>116</v>
      </c>
      <c r="C61" s="5" t="s">
        <v>117</v>
      </c>
      <c r="D61" s="44">
        <v>2000</v>
      </c>
    </row>
    <row r="62" spans="2:4" x14ac:dyDescent="0.3">
      <c r="B62" s="14" t="s">
        <v>118</v>
      </c>
      <c r="C62" s="7" t="s">
        <v>119</v>
      </c>
      <c r="D62" s="44">
        <v>3000</v>
      </c>
    </row>
    <row r="63" spans="2:4" x14ac:dyDescent="0.3">
      <c r="B63" s="14" t="s">
        <v>120</v>
      </c>
      <c r="C63" s="7" t="s">
        <v>121</v>
      </c>
      <c r="D63" s="35">
        <v>50000</v>
      </c>
    </row>
    <row r="64" spans="2:4" x14ac:dyDescent="0.3">
      <c r="B64" s="14" t="s">
        <v>122</v>
      </c>
      <c r="C64" s="7" t="s">
        <v>123</v>
      </c>
      <c r="D64" s="46">
        <v>0.01</v>
      </c>
    </row>
    <row r="65" spans="2:4" x14ac:dyDescent="0.3">
      <c r="B65" s="3"/>
      <c r="C65" s="3"/>
      <c r="D65" s="3"/>
    </row>
    <row r="66" spans="2:4" x14ac:dyDescent="0.3">
      <c r="B66" s="33" t="s">
        <v>124</v>
      </c>
      <c r="C66" s="34"/>
      <c r="D66" s="34"/>
    </row>
    <row r="67" spans="2:4" x14ac:dyDescent="0.3">
      <c r="B67" s="14" t="s">
        <v>125</v>
      </c>
      <c r="C67" s="7" t="s">
        <v>126</v>
      </c>
      <c r="D67" s="36">
        <v>11000</v>
      </c>
    </row>
    <row r="68" spans="2:4" x14ac:dyDescent="0.3">
      <c r="B68" s="47" t="s">
        <v>127</v>
      </c>
      <c r="C68" s="48" t="s">
        <v>128</v>
      </c>
      <c r="D68" s="49">
        <v>10600</v>
      </c>
    </row>
    <row r="69" spans="2:4" x14ac:dyDescent="0.3">
      <c r="B69" s="47" t="s">
        <v>129</v>
      </c>
      <c r="C69" s="48" t="s">
        <v>130</v>
      </c>
      <c r="D69" s="49">
        <v>10660</v>
      </c>
    </row>
    <row r="70" spans="2:4" x14ac:dyDescent="0.3">
      <c r="B70" s="14" t="s">
        <v>131</v>
      </c>
      <c r="C70" s="7" t="s">
        <v>132</v>
      </c>
      <c r="D70" s="35">
        <v>27700</v>
      </c>
    </row>
    <row r="71" spans="2:4" x14ac:dyDescent="0.3">
      <c r="B71" s="14" t="s">
        <v>133</v>
      </c>
      <c r="C71" s="7" t="s">
        <v>134</v>
      </c>
      <c r="D71" s="35">
        <v>100000</v>
      </c>
    </row>
    <row r="72" spans="2:4" x14ac:dyDescent="0.3">
      <c r="B72" s="14" t="s">
        <v>135</v>
      </c>
      <c r="C72" s="7" t="s">
        <v>136</v>
      </c>
      <c r="D72" s="15">
        <v>0.5</v>
      </c>
    </row>
    <row r="73" spans="2:4" x14ac:dyDescent="0.3">
      <c r="B73" s="16" t="s">
        <v>137</v>
      </c>
      <c r="C73" s="17" t="s">
        <v>138</v>
      </c>
      <c r="D73" s="36">
        <v>1000</v>
      </c>
    </row>
    <row r="74" spans="2:4" x14ac:dyDescent="0.3">
      <c r="B74" s="16" t="s">
        <v>139</v>
      </c>
      <c r="C74" s="17" t="s">
        <v>140</v>
      </c>
      <c r="D74" s="36">
        <v>500</v>
      </c>
    </row>
    <row r="75" spans="2:4" x14ac:dyDescent="0.3">
      <c r="B75" s="16" t="s">
        <v>141</v>
      </c>
      <c r="C75" s="17" t="s">
        <v>142</v>
      </c>
      <c r="D75" s="36">
        <v>0</v>
      </c>
    </row>
    <row r="76" spans="2:4" x14ac:dyDescent="0.3">
      <c r="B76" s="16" t="s">
        <v>143</v>
      </c>
      <c r="C76" s="50" t="s">
        <v>144</v>
      </c>
      <c r="D76" s="36">
        <v>5000</v>
      </c>
    </row>
    <row r="77" spans="2:4" x14ac:dyDescent="0.3">
      <c r="B77" s="4" t="s">
        <v>145</v>
      </c>
      <c r="C77" s="5" t="s">
        <v>146</v>
      </c>
      <c r="D77" s="37">
        <v>1100</v>
      </c>
    </row>
    <row r="78" spans="2:4" x14ac:dyDescent="0.3">
      <c r="B78" s="14" t="s">
        <v>147</v>
      </c>
      <c r="C78" s="7" t="s">
        <v>148</v>
      </c>
      <c r="D78" s="35">
        <v>3220</v>
      </c>
    </row>
    <row r="79" spans="2:4" x14ac:dyDescent="0.3">
      <c r="B79" s="14" t="s">
        <v>149</v>
      </c>
      <c r="C79" s="7" t="s">
        <v>150</v>
      </c>
      <c r="D79" s="35">
        <v>1610</v>
      </c>
    </row>
    <row r="80" spans="2:4" x14ac:dyDescent="0.3">
      <c r="B80" s="14" t="s">
        <v>151</v>
      </c>
      <c r="C80" s="7" t="s">
        <v>152</v>
      </c>
      <c r="D80" s="35">
        <v>8355</v>
      </c>
    </row>
    <row r="81" spans="2:4" x14ac:dyDescent="0.3">
      <c r="B81" s="14" t="s">
        <v>153</v>
      </c>
      <c r="C81" s="7" t="s">
        <v>154</v>
      </c>
      <c r="D81" s="35">
        <v>2290</v>
      </c>
    </row>
    <row r="82" spans="2:4" x14ac:dyDescent="0.3">
      <c r="B82" s="14" t="s">
        <v>155</v>
      </c>
      <c r="C82" s="7" t="s">
        <v>156</v>
      </c>
      <c r="D82" s="35">
        <v>3220</v>
      </c>
    </row>
    <row r="83" spans="2:4" x14ac:dyDescent="0.3">
      <c r="B83" s="14" t="s">
        <v>157</v>
      </c>
      <c r="C83" s="7" t="s">
        <v>158</v>
      </c>
      <c r="D83" s="35">
        <v>11100</v>
      </c>
    </row>
    <row r="84" spans="2:4" x14ac:dyDescent="0.3">
      <c r="B84" s="14" t="s">
        <v>159</v>
      </c>
      <c r="C84" s="7" t="s">
        <v>160</v>
      </c>
      <c r="D84" s="35">
        <v>50000</v>
      </c>
    </row>
    <row r="85" spans="2:4" x14ac:dyDescent="0.3">
      <c r="B85" s="14" t="s">
        <v>161</v>
      </c>
      <c r="C85" s="7" t="s">
        <v>162</v>
      </c>
      <c r="D85" s="15">
        <v>0.25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L38"/>
  <sheetViews>
    <sheetView topLeftCell="A7" workbookViewId="0">
      <selection activeCell="D36" sqref="D36"/>
    </sheetView>
  </sheetViews>
  <sheetFormatPr defaultRowHeight="14.4" x14ac:dyDescent="0.3"/>
  <cols>
    <col min="1" max="1" width="8.88671875" style="152"/>
    <col min="2" max="2" width="25.77734375" bestFit="1" customWidth="1"/>
  </cols>
  <sheetData>
    <row r="2" spans="1:4" x14ac:dyDescent="0.3">
      <c r="A2" s="152" t="s">
        <v>323</v>
      </c>
      <c r="B2" t="s">
        <v>322</v>
      </c>
      <c r="D2">
        <f>'Tax Calculation'!J5</f>
        <v>0</v>
      </c>
    </row>
    <row r="3" spans="1:4" x14ac:dyDescent="0.3">
      <c r="B3" t="s">
        <v>321</v>
      </c>
      <c r="D3">
        <f>'Tax Calculation'!J11</f>
        <v>0</v>
      </c>
    </row>
    <row r="4" spans="1:4" x14ac:dyDescent="0.3">
      <c r="B4" t="s">
        <v>318</v>
      </c>
      <c r="D4" s="156">
        <f>SUM(D2:D3)</f>
        <v>0</v>
      </c>
    </row>
    <row r="6" spans="1:4" x14ac:dyDescent="0.3">
      <c r="A6" s="152" t="s">
        <v>324</v>
      </c>
      <c r="B6" t="s">
        <v>318</v>
      </c>
      <c r="D6">
        <f>'Tax Calculation'!J7</f>
        <v>0</v>
      </c>
    </row>
    <row r="7" spans="1:4" x14ac:dyDescent="0.3">
      <c r="B7" t="s">
        <v>325</v>
      </c>
      <c r="D7">
        <f>'Tax Calculation'!J13</f>
        <v>0</v>
      </c>
    </row>
    <row r="8" spans="1:4" x14ac:dyDescent="0.3">
      <c r="B8" t="s">
        <v>326</v>
      </c>
      <c r="D8" s="156">
        <f>SUM(D6:D7)</f>
        <v>0</v>
      </c>
    </row>
    <row r="9" spans="1:4" x14ac:dyDescent="0.3">
      <c r="D9" s="1"/>
    </row>
    <row r="10" spans="1:4" x14ac:dyDescent="0.3">
      <c r="A10" s="152" t="s">
        <v>327</v>
      </c>
      <c r="B10" t="s">
        <v>2</v>
      </c>
      <c r="D10" s="156">
        <f>'Tax Calculation'!J9</f>
        <v>0</v>
      </c>
    </row>
    <row r="11" spans="1:4" x14ac:dyDescent="0.3">
      <c r="D11" s="1"/>
    </row>
    <row r="13" spans="1:4" x14ac:dyDescent="0.3">
      <c r="B13" t="s">
        <v>316</v>
      </c>
      <c r="D13" s="156">
        <f>'Tax Calculation'!J5+'Tax Calculation'!J7+'Tax Calculation'!J9+'Tax Calculation'!J11+'Tax Calculation'!J13</f>
        <v>0</v>
      </c>
    </row>
    <row r="15" spans="1:4" x14ac:dyDescent="0.3">
      <c r="B15" t="s">
        <v>328</v>
      </c>
      <c r="D15" s="156">
        <f>'Tax Calculation'!O13</f>
        <v>0</v>
      </c>
    </row>
    <row r="17" spans="2:12" x14ac:dyDescent="0.3">
      <c r="B17" t="s">
        <v>330</v>
      </c>
      <c r="D17" s="156">
        <f>MAX(0,D13-D15)</f>
        <v>0</v>
      </c>
    </row>
    <row r="19" spans="2:12" x14ac:dyDescent="0.3">
      <c r="B19" t="s">
        <v>331</v>
      </c>
      <c r="D19" s="156">
        <f>'Tax Calculation'!O15</f>
        <v>0</v>
      </c>
    </row>
    <row r="22" spans="2:12" ht="17.399999999999999" x14ac:dyDescent="0.3">
      <c r="B22" s="157" t="s">
        <v>607</v>
      </c>
      <c r="C22" s="84"/>
      <c r="D22" s="84"/>
      <c r="E22" s="84"/>
      <c r="F22" s="84"/>
      <c r="G22" s="84"/>
      <c r="H22" s="126"/>
      <c r="I22" s="126"/>
      <c r="J22" s="126"/>
      <c r="K22" s="72"/>
      <c r="L22" s="72"/>
    </row>
    <row r="23" spans="2:12" x14ac:dyDescent="0.3">
      <c r="B23" s="72"/>
      <c r="C23" s="72"/>
      <c r="D23" s="72"/>
      <c r="E23" s="72"/>
      <c r="F23" s="72"/>
      <c r="G23" s="72"/>
      <c r="H23" s="72"/>
      <c r="I23" s="72"/>
      <c r="J23" s="72"/>
      <c r="K23" s="72"/>
      <c r="L23" s="72"/>
    </row>
    <row r="24" spans="2:12" x14ac:dyDescent="0.3">
      <c r="B24" s="72"/>
      <c r="C24" s="72"/>
      <c r="D24" s="72"/>
      <c r="E24" s="72"/>
      <c r="F24" s="100"/>
      <c r="G24" s="100"/>
      <c r="H24" s="94"/>
      <c r="I24" s="72"/>
      <c r="J24" s="72"/>
      <c r="K24" s="72"/>
      <c r="L24" s="100"/>
    </row>
    <row r="25" spans="2:12" x14ac:dyDescent="0.3">
      <c r="B25" s="100"/>
      <c r="C25" s="100"/>
      <c r="D25" s="94"/>
      <c r="E25" s="100"/>
      <c r="F25" s="100"/>
      <c r="G25" s="100"/>
      <c r="H25" s="100"/>
      <c r="I25" s="100"/>
      <c r="L25" s="100"/>
    </row>
    <row r="26" spans="2:12" x14ac:dyDescent="0.3">
      <c r="B26" s="112" t="s">
        <v>334</v>
      </c>
      <c r="C26" s="112"/>
      <c r="D26" s="96">
        <f>'Stage 4'!I49</f>
        <v>0</v>
      </c>
      <c r="E26" s="100"/>
      <c r="F26" s="100"/>
      <c r="G26" s="100"/>
      <c r="H26" s="100"/>
      <c r="I26" s="72"/>
      <c r="L26" s="100"/>
    </row>
    <row r="27" spans="2:12" x14ac:dyDescent="0.3">
      <c r="B27" s="72"/>
      <c r="C27" s="72"/>
      <c r="D27" s="72"/>
      <c r="E27" s="92"/>
      <c r="F27" s="92"/>
      <c r="G27" s="92"/>
      <c r="H27" s="92"/>
      <c r="I27" s="92"/>
      <c r="L27" s="100"/>
    </row>
    <row r="28" spans="2:12" x14ac:dyDescent="0.3">
      <c r="B28" s="72"/>
      <c r="C28" s="72"/>
      <c r="D28" s="83" t="s">
        <v>134</v>
      </c>
      <c r="E28" s="72"/>
      <c r="F28" s="72"/>
      <c r="G28" s="72"/>
      <c r="H28" s="72"/>
      <c r="I28" s="72"/>
      <c r="L28" s="100"/>
    </row>
    <row r="29" spans="2:12" x14ac:dyDescent="0.3">
      <c r="B29" s="112" t="s">
        <v>335</v>
      </c>
      <c r="C29" s="112"/>
      <c r="D29" s="160">
        <f>PA_taper_limit</f>
        <v>100000</v>
      </c>
      <c r="E29" s="100"/>
      <c r="F29" s="100"/>
      <c r="G29" s="122"/>
      <c r="H29" s="122"/>
      <c r="I29" s="163"/>
      <c r="L29" s="100"/>
    </row>
    <row r="30" spans="2:12" x14ac:dyDescent="0.3">
      <c r="B30" s="112"/>
      <c r="C30" s="112"/>
      <c r="D30" s="100"/>
      <c r="E30" s="100"/>
      <c r="F30" s="100"/>
      <c r="G30" s="100"/>
      <c r="H30" s="100"/>
      <c r="I30" s="72"/>
      <c r="L30" s="100"/>
    </row>
    <row r="31" spans="2:12" x14ac:dyDescent="0.3">
      <c r="B31" s="72"/>
      <c r="C31" s="72"/>
      <c r="D31" s="96">
        <f>MAX(0,D26-D29)</f>
        <v>0</v>
      </c>
      <c r="E31" s="72"/>
      <c r="F31" s="72"/>
      <c r="G31" s="72"/>
      <c r="H31" s="72"/>
      <c r="I31" s="72"/>
      <c r="L31" s="100"/>
    </row>
    <row r="32" spans="2:12" x14ac:dyDescent="0.3">
      <c r="B32" s="164"/>
      <c r="C32" s="164"/>
      <c r="D32" s="96">
        <f>P_A</f>
        <v>11000</v>
      </c>
      <c r="E32" s="122"/>
      <c r="F32" s="122"/>
      <c r="G32" s="122"/>
      <c r="H32" s="122"/>
      <c r="I32" s="163"/>
      <c r="L32" s="100"/>
    </row>
    <row r="33" spans="2:12" x14ac:dyDescent="0.3">
      <c r="B33" s="122"/>
      <c r="C33" s="122"/>
      <c r="D33" s="72"/>
      <c r="E33" s="92"/>
      <c r="F33" s="92"/>
      <c r="G33" s="92"/>
      <c r="H33" s="92"/>
      <c r="I33" s="92"/>
      <c r="L33" s="100"/>
    </row>
    <row r="34" spans="2:12" x14ac:dyDescent="0.3">
      <c r="B34" s="100"/>
      <c r="C34" s="100"/>
      <c r="D34" s="96">
        <f>TRUNC(D31*AA_excess,0)</f>
        <v>0</v>
      </c>
      <c r="E34" s="100"/>
      <c r="F34" s="100"/>
      <c r="G34" s="72"/>
      <c r="H34" s="72"/>
      <c r="I34" s="72"/>
      <c r="L34" s="161"/>
    </row>
    <row r="35" spans="2:12" x14ac:dyDescent="0.3">
      <c r="B35" s="100"/>
      <c r="C35" s="100"/>
      <c r="D35" s="72"/>
      <c r="E35" s="100"/>
      <c r="F35" s="72"/>
      <c r="G35" s="72"/>
      <c r="H35" s="72"/>
      <c r="I35" s="100"/>
      <c r="L35" s="72"/>
    </row>
    <row r="36" spans="2:12" x14ac:dyDescent="0.3">
      <c r="B36" s="100" t="s">
        <v>336</v>
      </c>
      <c r="C36" s="100"/>
      <c r="D36" s="96">
        <f>MAX(0,D32-D34)</f>
        <v>11000</v>
      </c>
      <c r="E36" s="100"/>
      <c r="F36" s="100"/>
      <c r="G36" s="100"/>
      <c r="H36" s="100"/>
      <c r="I36" s="100"/>
      <c r="L36" s="72"/>
    </row>
    <row r="37" spans="2:12" x14ac:dyDescent="0.3">
      <c r="B37" s="100"/>
      <c r="C37" s="100"/>
      <c r="D37" s="100"/>
      <c r="E37" s="100"/>
      <c r="F37" s="100"/>
      <c r="G37" s="100"/>
      <c r="H37" s="100"/>
      <c r="I37" s="100"/>
      <c r="J37" s="72"/>
      <c r="K37" s="162"/>
      <c r="L37" s="72"/>
    </row>
    <row r="38" spans="2:12" x14ac:dyDescent="0.3">
      <c r="B38" s="72"/>
      <c r="C38" s="100"/>
      <c r="D38" s="100"/>
      <c r="E38" s="100"/>
      <c r="F38" s="100"/>
      <c r="G38" s="100"/>
      <c r="H38" s="100"/>
      <c r="I38" s="100"/>
      <c r="J38" s="100"/>
      <c r="K38" s="162"/>
      <c r="L38" s="7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225"/>
  <sheetViews>
    <sheetView topLeftCell="B1" zoomScale="99" zoomScaleNormal="99" workbookViewId="0">
      <selection activeCell="E23" sqref="E23"/>
    </sheetView>
  </sheetViews>
  <sheetFormatPr defaultColWidth="9.109375" defaultRowHeight="11.4" x14ac:dyDescent="0.2"/>
  <cols>
    <col min="1" max="1" width="5" style="72" hidden="1" customWidth="1"/>
    <col min="2" max="2" width="43.109375" style="72" customWidth="1"/>
    <col min="3" max="3" width="16.109375" style="72" customWidth="1"/>
    <col min="4" max="4" width="5.6640625" style="72" customWidth="1"/>
    <col min="5" max="5" width="13.109375" style="72" customWidth="1"/>
    <col min="6" max="6" width="10.5546875" style="72" customWidth="1"/>
    <col min="7" max="7" width="6" style="72" customWidth="1"/>
    <col min="8" max="8" width="6.109375" style="72" customWidth="1"/>
    <col min="9" max="9" width="13.109375" style="72" customWidth="1"/>
    <col min="10" max="10" width="10.44140625" style="72" customWidth="1"/>
    <col min="11" max="12" width="6" style="72" customWidth="1"/>
    <col min="13" max="13" width="13.109375" style="72" customWidth="1"/>
    <col min="14" max="14" width="10.44140625" style="72" customWidth="1"/>
    <col min="15" max="16" width="6" style="72" customWidth="1"/>
    <col min="17" max="17" width="13.109375" style="72" customWidth="1"/>
    <col min="18" max="18" width="11.33203125" style="72" customWidth="1"/>
    <col min="19" max="16384" width="9.109375" style="72"/>
  </cols>
  <sheetData>
    <row r="1" spans="1:17" ht="17.399999999999999" x14ac:dyDescent="0.3">
      <c r="A1" s="72" t="s">
        <v>195</v>
      </c>
      <c r="B1" s="73" t="s">
        <v>193</v>
      </c>
      <c r="C1" s="74"/>
    </row>
    <row r="2" spans="1:17" x14ac:dyDescent="0.2">
      <c r="A2" s="72" t="s">
        <v>197</v>
      </c>
      <c r="B2" s="89"/>
      <c r="C2" s="89"/>
      <c r="D2" s="89"/>
      <c r="E2" s="89"/>
      <c r="F2" s="89"/>
      <c r="G2" s="89"/>
      <c r="H2" s="89"/>
      <c r="I2" s="89"/>
      <c r="J2" s="89"/>
      <c r="K2" s="89"/>
      <c r="L2" s="89"/>
      <c r="M2" s="89"/>
      <c r="N2" s="89"/>
      <c r="O2" s="89"/>
      <c r="P2" s="89"/>
      <c r="Q2" s="89"/>
    </row>
    <row r="3" spans="1:17" x14ac:dyDescent="0.2">
      <c r="A3" s="72" t="s">
        <v>198</v>
      </c>
      <c r="M3" s="83"/>
    </row>
    <row r="4" spans="1:17" ht="12" x14ac:dyDescent="0.25">
      <c r="A4" s="72" t="s">
        <v>201</v>
      </c>
      <c r="B4" s="78" t="s">
        <v>237</v>
      </c>
      <c r="M4" s="83"/>
    </row>
    <row r="5" spans="1:17" s="78" customFormat="1" ht="12" x14ac:dyDescent="0.25">
      <c r="A5" s="72" t="s">
        <v>202</v>
      </c>
      <c r="B5" s="78" t="s">
        <v>194</v>
      </c>
      <c r="C5" s="72"/>
      <c r="D5" s="72"/>
      <c r="E5" s="72"/>
      <c r="F5" s="72"/>
      <c r="G5" s="72"/>
      <c r="H5" s="72"/>
      <c r="I5" s="72"/>
      <c r="J5" s="72"/>
      <c r="K5" s="91"/>
      <c r="L5" s="90"/>
      <c r="M5" s="155"/>
      <c r="N5" s="72"/>
      <c r="O5" s="72"/>
      <c r="P5" s="72"/>
      <c r="Q5" s="72"/>
    </row>
    <row r="6" spans="1:17" s="78" customFormat="1" ht="12" x14ac:dyDescent="0.25">
      <c r="A6" s="72"/>
      <c r="C6" s="72"/>
      <c r="D6" s="72"/>
      <c r="E6" s="72"/>
      <c r="F6" s="72"/>
      <c r="G6" s="72"/>
      <c r="H6" s="72"/>
      <c r="I6" s="72"/>
      <c r="J6" s="72"/>
      <c r="K6" s="91"/>
      <c r="L6" s="90"/>
      <c r="M6" s="155"/>
      <c r="N6" s="72"/>
      <c r="O6" s="72"/>
      <c r="P6" s="72"/>
      <c r="Q6" s="72"/>
    </row>
    <row r="7" spans="1:17" s="78" customFormat="1" ht="12" x14ac:dyDescent="0.25">
      <c r="A7" s="72"/>
      <c r="B7" s="72" t="s">
        <v>319</v>
      </c>
      <c r="C7" s="72"/>
      <c r="D7" s="72"/>
      <c r="E7" s="131">
        <f>'Tax Calculation'!O9</f>
        <v>0</v>
      </c>
      <c r="F7" s="72"/>
      <c r="G7" s="72"/>
      <c r="H7" s="72"/>
      <c r="I7" s="72"/>
      <c r="J7" s="72"/>
      <c r="K7" s="91"/>
      <c r="L7" s="90"/>
      <c r="M7" s="155"/>
      <c r="N7" s="72"/>
      <c r="O7" s="72"/>
      <c r="P7" s="72"/>
      <c r="Q7" s="72"/>
    </row>
    <row r="8" spans="1:17" x14ac:dyDescent="0.2">
      <c r="A8" s="72" t="s">
        <v>203</v>
      </c>
      <c r="B8" s="72" t="s">
        <v>320</v>
      </c>
      <c r="E8" s="131">
        <f>'Tax Calculation'!O11</f>
        <v>0</v>
      </c>
    </row>
    <row r="9" spans="1:17" x14ac:dyDescent="0.2">
      <c r="E9" s="100"/>
    </row>
    <row r="10" spans="1:17" ht="12" x14ac:dyDescent="0.25">
      <c r="A10" s="72" t="s">
        <v>204</v>
      </c>
      <c r="B10" s="93" t="s">
        <v>239</v>
      </c>
      <c r="E10" s="94"/>
    </row>
    <row r="11" spans="1:17" ht="12" x14ac:dyDescent="0.25">
      <c r="A11" s="72" t="s">
        <v>205</v>
      </c>
      <c r="B11" s="93" t="s">
        <v>240</v>
      </c>
      <c r="D11" s="80" t="str">
        <f>A44</f>
        <v>c4.41</v>
      </c>
      <c r="E11" s="81">
        <f>'Initial calcs'!D17</f>
        <v>0</v>
      </c>
    </row>
    <row r="12" spans="1:17" x14ac:dyDescent="0.2">
      <c r="A12" s="72" t="s">
        <v>206</v>
      </c>
    </row>
    <row r="13" spans="1:17" x14ac:dyDescent="0.2">
      <c r="A13" s="72" t="s">
        <v>207</v>
      </c>
      <c r="D13" s="79"/>
      <c r="E13" s="83" t="s">
        <v>599</v>
      </c>
      <c r="F13" s="95"/>
    </row>
    <row r="14" spans="1:17" x14ac:dyDescent="0.2">
      <c r="A14" s="72" t="s">
        <v>208</v>
      </c>
      <c r="D14" s="80" t="str">
        <f>A45</f>
        <v>c4.42</v>
      </c>
      <c r="E14" s="96">
        <f>TRUNC((E119*Dedn_taper)+0.99,0)</f>
        <v>0</v>
      </c>
      <c r="F14" s="82" t="s">
        <v>196</v>
      </c>
    </row>
    <row r="15" spans="1:17" x14ac:dyDescent="0.2">
      <c r="A15" s="72" t="s">
        <v>209</v>
      </c>
      <c r="I15" s="79"/>
      <c r="L15" s="79"/>
      <c r="M15" s="72" t="s">
        <v>243</v>
      </c>
    </row>
    <row r="16" spans="1:17" ht="12" x14ac:dyDescent="0.25">
      <c r="A16" s="72" t="s">
        <v>210</v>
      </c>
      <c r="B16" s="93" t="s">
        <v>244</v>
      </c>
      <c r="I16" s="97" t="s">
        <v>160</v>
      </c>
      <c r="L16" s="79"/>
      <c r="M16" s="83" t="str">
        <f>D14&amp;" and "&amp;H17</f>
        <v>c4.42 and c4.43</v>
      </c>
    </row>
    <row r="17" spans="1:17" ht="12" x14ac:dyDescent="0.25">
      <c r="A17" s="72" t="s">
        <v>211</v>
      </c>
      <c r="B17" s="93" t="s">
        <v>245</v>
      </c>
      <c r="H17" s="80" t="str">
        <f>A46</f>
        <v>c4.43</v>
      </c>
      <c r="I17" s="98">
        <f>Dedn_cap</f>
        <v>50000</v>
      </c>
      <c r="L17" s="80" t="str">
        <f>A47</f>
        <v>c4.44</v>
      </c>
      <c r="M17" s="96">
        <f>MAX(I17,E14)</f>
        <v>50000</v>
      </c>
    </row>
    <row r="18" spans="1:17" x14ac:dyDescent="0.2">
      <c r="A18" s="72" t="s">
        <v>212</v>
      </c>
      <c r="Q18" s="83"/>
    </row>
    <row r="19" spans="1:17" x14ac:dyDescent="0.2">
      <c r="A19" s="72" t="s">
        <v>213</v>
      </c>
      <c r="M19" s="83" t="str">
        <f>"lower of "&amp;L5&amp;" and "&amp;L17</f>
        <v>lower of  and c4.44</v>
      </c>
      <c r="Q19" s="83"/>
    </row>
    <row r="20" spans="1:17" x14ac:dyDescent="0.2">
      <c r="A20" s="72" t="s">
        <v>214</v>
      </c>
      <c r="K20" s="91" t="s">
        <v>248</v>
      </c>
      <c r="L20" s="80" t="str">
        <f>A48</f>
        <v>c4.45</v>
      </c>
      <c r="M20" s="96">
        <f>MIN(E7,M17)</f>
        <v>0</v>
      </c>
      <c r="O20" s="91" t="s">
        <v>250</v>
      </c>
      <c r="P20" s="80" t="str">
        <f>A49</f>
        <v>c4.46</v>
      </c>
      <c r="Q20" s="81">
        <f>E8</f>
        <v>0</v>
      </c>
    </row>
    <row r="21" spans="1:17" x14ac:dyDescent="0.2">
      <c r="A21" s="72" t="s">
        <v>215</v>
      </c>
    </row>
    <row r="22" spans="1:17" x14ac:dyDescent="0.2">
      <c r="A22" s="72" t="s">
        <v>216</v>
      </c>
      <c r="E22" s="83" t="str">
        <f>L20&amp;" + "&amp;P20</f>
        <v>c4.45 + c4.46</v>
      </c>
    </row>
    <row r="23" spans="1:17" ht="12" x14ac:dyDescent="0.25">
      <c r="A23" s="72" t="s">
        <v>217</v>
      </c>
      <c r="B23" s="93" t="s">
        <v>252</v>
      </c>
      <c r="D23" s="80" t="str">
        <f>A50</f>
        <v>c4.47</v>
      </c>
      <c r="E23" s="81">
        <f>M20+Q20</f>
        <v>0</v>
      </c>
    </row>
    <row r="24" spans="1:17" x14ac:dyDescent="0.2">
      <c r="A24" s="72" t="s">
        <v>218</v>
      </c>
      <c r="B24" s="99"/>
      <c r="C24" s="99"/>
      <c r="D24" s="99"/>
      <c r="E24" s="99"/>
      <c r="F24" s="99"/>
      <c r="G24" s="99"/>
      <c r="H24" s="99"/>
      <c r="I24" s="99"/>
      <c r="J24" s="99"/>
      <c r="K24" s="99"/>
      <c r="L24" s="99"/>
      <c r="M24" s="99"/>
      <c r="N24" s="99"/>
      <c r="O24" s="99"/>
      <c r="P24" s="99"/>
      <c r="Q24" s="99"/>
    </row>
    <row r="25" spans="1:17" x14ac:dyDescent="0.2">
      <c r="A25" s="72" t="s">
        <v>219</v>
      </c>
    </row>
    <row r="26" spans="1:17" x14ac:dyDescent="0.2">
      <c r="A26" s="72" t="s">
        <v>220</v>
      </c>
    </row>
    <row r="27" spans="1:17" x14ac:dyDescent="0.2">
      <c r="A27" s="72" t="s">
        <v>221</v>
      </c>
      <c r="H27" s="79"/>
      <c r="I27" s="83"/>
    </row>
    <row r="28" spans="1:17" ht="12" x14ac:dyDescent="0.25">
      <c r="A28" s="72" t="s">
        <v>222</v>
      </c>
      <c r="B28" s="93" t="s">
        <v>260</v>
      </c>
      <c r="H28" s="80"/>
      <c r="I28" s="81">
        <f>'Initial calcs'!D13</f>
        <v>0</v>
      </c>
    </row>
    <row r="29" spans="1:17" ht="12" x14ac:dyDescent="0.25">
      <c r="A29" s="72" t="s">
        <v>223</v>
      </c>
      <c r="B29" s="93" t="s">
        <v>262</v>
      </c>
    </row>
    <row r="30" spans="1:17" x14ac:dyDescent="0.2">
      <c r="A30" s="72" t="s">
        <v>224</v>
      </c>
      <c r="B30" s="99"/>
      <c r="C30" s="99"/>
      <c r="D30" s="99"/>
      <c r="E30" s="99"/>
      <c r="F30" s="99"/>
      <c r="G30" s="99"/>
      <c r="H30" s="99"/>
      <c r="I30" s="99"/>
      <c r="J30" s="99"/>
      <c r="K30" s="99"/>
      <c r="L30" s="99"/>
      <c r="M30" s="99"/>
      <c r="N30" s="99"/>
      <c r="O30" s="99"/>
      <c r="P30" s="99"/>
      <c r="Q30" s="99"/>
    </row>
    <row r="31" spans="1:17" x14ac:dyDescent="0.2">
      <c r="A31" s="72" t="s">
        <v>225</v>
      </c>
    </row>
    <row r="32" spans="1:17" ht="12" x14ac:dyDescent="0.25">
      <c r="A32" s="72" t="s">
        <v>226</v>
      </c>
      <c r="B32" s="102" t="s">
        <v>263</v>
      </c>
    </row>
    <row r="33" spans="1:17" x14ac:dyDescent="0.2">
      <c r="A33" s="72" t="s">
        <v>227</v>
      </c>
      <c r="B33" s="79" t="s">
        <v>264</v>
      </c>
      <c r="C33" s="103"/>
      <c r="D33" s="79"/>
      <c r="E33" s="91"/>
      <c r="F33" s="101"/>
      <c r="G33" s="101"/>
      <c r="H33" s="101"/>
      <c r="I33" s="104"/>
      <c r="J33" s="101"/>
    </row>
    <row r="34" spans="1:17" x14ac:dyDescent="0.2">
      <c r="A34" s="72" t="s">
        <v>228</v>
      </c>
      <c r="D34" s="90"/>
      <c r="E34" s="107"/>
      <c r="F34" s="88"/>
      <c r="H34" s="80"/>
      <c r="I34" s="96">
        <f>'Initial calcs'!D19</f>
        <v>0</v>
      </c>
      <c r="J34" s="88"/>
      <c r="K34" s="100"/>
    </row>
    <row r="35" spans="1:17" x14ac:dyDescent="0.2">
      <c r="A35" s="72" t="s">
        <v>229</v>
      </c>
      <c r="E35" s="105"/>
      <c r="I35" s="83"/>
    </row>
    <row r="36" spans="1:17" x14ac:dyDescent="0.2">
      <c r="A36" s="72" t="s">
        <v>230</v>
      </c>
    </row>
    <row r="37" spans="1:17" x14ac:dyDescent="0.2">
      <c r="A37" s="72" t="s">
        <v>231</v>
      </c>
      <c r="H37" s="101"/>
      <c r="I37" s="91"/>
    </row>
    <row r="38" spans="1:17" x14ac:dyDescent="0.2">
      <c r="A38" s="72" t="s">
        <v>232</v>
      </c>
      <c r="B38" s="79" t="s">
        <v>267</v>
      </c>
      <c r="C38" s="103"/>
      <c r="D38" s="101"/>
      <c r="H38" s="80" t="str">
        <f>A60</f>
        <v>c4.58</v>
      </c>
      <c r="I38" s="87">
        <f>'Initial calcs'!D15</f>
        <v>0</v>
      </c>
      <c r="J38" s="88" t="s">
        <v>196</v>
      </c>
    </row>
    <row r="39" spans="1:17" x14ac:dyDescent="0.2">
      <c r="A39" s="72" t="s">
        <v>233</v>
      </c>
      <c r="B39" s="79"/>
      <c r="C39" s="101"/>
      <c r="D39" s="101"/>
      <c r="F39" s="101"/>
      <c r="G39" s="101"/>
      <c r="H39" s="101"/>
      <c r="I39" s="101"/>
      <c r="J39" s="101"/>
    </row>
    <row r="40" spans="1:17" x14ac:dyDescent="0.2">
      <c r="A40" s="72" t="s">
        <v>234</v>
      </c>
      <c r="B40" s="79"/>
      <c r="C40" s="100"/>
      <c r="F40" s="100"/>
      <c r="G40" s="100"/>
      <c r="H40" s="100"/>
      <c r="I40" s="94"/>
      <c r="J40" s="100"/>
      <c r="K40" s="100"/>
    </row>
    <row r="41" spans="1:17" ht="12" x14ac:dyDescent="0.25">
      <c r="A41" s="72" t="s">
        <v>235</v>
      </c>
      <c r="B41" s="106" t="s">
        <v>269</v>
      </c>
      <c r="C41" s="100"/>
      <c r="F41" s="100"/>
      <c r="G41" s="100"/>
      <c r="H41" s="80" t="s">
        <v>270</v>
      </c>
      <c r="I41" s="87">
        <f>I34+I38</f>
        <v>0</v>
      </c>
      <c r="J41" s="107"/>
      <c r="K41" s="100"/>
    </row>
    <row r="42" spans="1:17" x14ac:dyDescent="0.2">
      <c r="A42" s="72" t="s">
        <v>236</v>
      </c>
      <c r="K42" s="100"/>
    </row>
    <row r="43" spans="1:17" x14ac:dyDescent="0.2">
      <c r="A43" s="72" t="s">
        <v>238</v>
      </c>
      <c r="I43" s="83"/>
    </row>
    <row r="44" spans="1:17" ht="12" x14ac:dyDescent="0.25">
      <c r="A44" s="72" t="s">
        <v>241</v>
      </c>
      <c r="B44" s="102" t="s">
        <v>272</v>
      </c>
      <c r="H44" s="80"/>
      <c r="I44" s="87">
        <f>I41</f>
        <v>0</v>
      </c>
      <c r="J44" s="108"/>
    </row>
    <row r="45" spans="1:17" x14ac:dyDescent="0.2">
      <c r="A45" s="72" t="s">
        <v>242</v>
      </c>
      <c r="B45" s="99"/>
      <c r="C45" s="99"/>
      <c r="D45" s="99"/>
      <c r="E45" s="99"/>
      <c r="F45" s="99"/>
      <c r="G45" s="99"/>
      <c r="H45" s="99"/>
      <c r="I45" s="99"/>
      <c r="J45" s="99"/>
      <c r="K45" s="99"/>
      <c r="L45" s="99"/>
      <c r="M45" s="99"/>
      <c r="N45" s="99"/>
      <c r="O45" s="99"/>
      <c r="P45" s="99"/>
      <c r="Q45" s="99"/>
    </row>
    <row r="46" spans="1:17" x14ac:dyDescent="0.2">
      <c r="A46" s="72" t="s">
        <v>246</v>
      </c>
    </row>
    <row r="47" spans="1:17" ht="12" x14ac:dyDescent="0.25">
      <c r="A47" s="72" t="s">
        <v>247</v>
      </c>
      <c r="B47" s="109" t="s">
        <v>273</v>
      </c>
      <c r="C47" s="109"/>
    </row>
    <row r="48" spans="1:17" x14ac:dyDescent="0.2">
      <c r="A48" s="72" t="s">
        <v>249</v>
      </c>
      <c r="I48" s="83"/>
    </row>
    <row r="49" spans="1:17" x14ac:dyDescent="0.2">
      <c r="A49" s="72" t="s">
        <v>251</v>
      </c>
      <c r="B49" s="72" t="s">
        <v>315</v>
      </c>
      <c r="H49" s="80"/>
      <c r="I49" s="87">
        <f>MAX(0,I28-I44)</f>
        <v>0</v>
      </c>
    </row>
    <row r="50" spans="1:17" x14ac:dyDescent="0.2">
      <c r="A50" s="72" t="s">
        <v>253</v>
      </c>
      <c r="I50" s="83"/>
    </row>
    <row r="51" spans="1:17" x14ac:dyDescent="0.2">
      <c r="A51" s="72" t="s">
        <v>254</v>
      </c>
      <c r="B51" s="99"/>
      <c r="C51" s="99"/>
      <c r="D51" s="99"/>
      <c r="E51" s="99"/>
      <c r="F51" s="99"/>
      <c r="G51" s="99"/>
      <c r="H51" s="99"/>
      <c r="I51" s="111"/>
      <c r="J51" s="99"/>
      <c r="K51" s="99"/>
      <c r="L51" s="99"/>
      <c r="M51" s="99"/>
      <c r="N51" s="99"/>
      <c r="O51" s="99"/>
      <c r="P51" s="99"/>
      <c r="Q51" s="99"/>
    </row>
    <row r="52" spans="1:17" x14ac:dyDescent="0.2">
      <c r="A52" s="72" t="s">
        <v>255</v>
      </c>
    </row>
    <row r="53" spans="1:17" ht="12" x14ac:dyDescent="0.25">
      <c r="A53" s="72" t="s">
        <v>256</v>
      </c>
      <c r="B53" s="109" t="s">
        <v>274</v>
      </c>
    </row>
    <row r="54" spans="1:17" x14ac:dyDescent="0.2">
      <c r="A54" s="72" t="s">
        <v>257</v>
      </c>
      <c r="B54" s="114"/>
    </row>
    <row r="55" spans="1:17" x14ac:dyDescent="0.2">
      <c r="A55" s="72" t="s">
        <v>258</v>
      </c>
      <c r="B55" s="112" t="s">
        <v>275</v>
      </c>
      <c r="C55" s="112"/>
      <c r="H55" s="80"/>
      <c r="I55" s="96">
        <f>'Initial calcs'!D36</f>
        <v>11000</v>
      </c>
      <c r="J55" s="115"/>
      <c r="L55" s="100"/>
    </row>
    <row r="56" spans="1:17" x14ac:dyDescent="0.2">
      <c r="A56" s="72" t="s">
        <v>259</v>
      </c>
      <c r="B56" s="116"/>
      <c r="C56" s="116"/>
      <c r="E56" s="100"/>
      <c r="H56" s="79"/>
      <c r="I56" s="75"/>
      <c r="J56" s="75"/>
    </row>
    <row r="57" spans="1:17" x14ac:dyDescent="0.2">
      <c r="A57" s="72" t="s">
        <v>261</v>
      </c>
      <c r="H57" s="116"/>
    </row>
    <row r="58" spans="1:17" x14ac:dyDescent="0.2">
      <c r="A58" s="72" t="s">
        <v>265</v>
      </c>
      <c r="B58" s="72" t="s">
        <v>153</v>
      </c>
      <c r="C58" s="112"/>
      <c r="E58" s="100"/>
      <c r="F58" s="100"/>
      <c r="H58" s="80"/>
      <c r="I58" s="96">
        <f>IF('Tax Calculation'!O5="Claimed",BPA,0)</f>
        <v>0</v>
      </c>
      <c r="J58" s="117"/>
    </row>
    <row r="59" spans="1:17" x14ac:dyDescent="0.2">
      <c r="A59" s="72" t="s">
        <v>266</v>
      </c>
      <c r="C59" s="116"/>
      <c r="H59" s="79"/>
      <c r="I59" s="75"/>
      <c r="J59" s="75"/>
    </row>
    <row r="60" spans="1:17" x14ac:dyDescent="0.2">
      <c r="A60" s="72" t="s">
        <v>268</v>
      </c>
    </row>
    <row r="61" spans="1:17" x14ac:dyDescent="0.2">
      <c r="A61" s="72" t="s">
        <v>270</v>
      </c>
      <c r="M61" s="94"/>
    </row>
    <row r="62" spans="1:17" ht="12" x14ac:dyDescent="0.25">
      <c r="A62" s="72" t="s">
        <v>271</v>
      </c>
      <c r="B62" s="102" t="s">
        <v>278</v>
      </c>
      <c r="C62" s="102"/>
      <c r="L62" s="80"/>
      <c r="M62" s="96">
        <f>I55+I58</f>
        <v>11000</v>
      </c>
    </row>
    <row r="63" spans="1:17" x14ac:dyDescent="0.2">
      <c r="A63" s="72" t="s">
        <v>276</v>
      </c>
    </row>
    <row r="64" spans="1:17" x14ac:dyDescent="0.2">
      <c r="A64" s="72" t="s">
        <v>277</v>
      </c>
    </row>
    <row r="65" spans="1:18" x14ac:dyDescent="0.2">
      <c r="A65" s="72" t="s">
        <v>283</v>
      </c>
      <c r="B65" s="99"/>
      <c r="C65" s="99"/>
      <c r="D65" s="99"/>
      <c r="E65" s="99"/>
      <c r="F65" s="99"/>
      <c r="G65" s="99"/>
      <c r="H65" s="99"/>
      <c r="I65" s="99"/>
      <c r="J65" s="99"/>
      <c r="K65" s="99"/>
      <c r="L65" s="99"/>
      <c r="M65" s="99"/>
      <c r="N65" s="99"/>
      <c r="O65" s="99"/>
      <c r="P65" s="99"/>
      <c r="Q65" s="99"/>
    </row>
    <row r="66" spans="1:18" x14ac:dyDescent="0.2">
      <c r="A66" s="72" t="s">
        <v>285</v>
      </c>
    </row>
    <row r="67" spans="1:18" ht="12" x14ac:dyDescent="0.25">
      <c r="A67" s="72" t="s">
        <v>286</v>
      </c>
      <c r="B67" s="74" t="s">
        <v>279</v>
      </c>
    </row>
    <row r="68" spans="1:18" x14ac:dyDescent="0.2">
      <c r="A68" s="72" t="s">
        <v>287</v>
      </c>
      <c r="B68" s="79" t="s">
        <v>281</v>
      </c>
      <c r="H68" s="80"/>
      <c r="I68" s="96">
        <f>IF('Tax Calculation'!O7="Transferor",T_P_A,0)</f>
        <v>0</v>
      </c>
    </row>
    <row r="69" spans="1:18" x14ac:dyDescent="0.2">
      <c r="A69" s="72" t="s">
        <v>290</v>
      </c>
    </row>
    <row r="70" spans="1:18" x14ac:dyDescent="0.2">
      <c r="A70" s="72" t="s">
        <v>292</v>
      </c>
      <c r="M70" s="83"/>
    </row>
    <row r="71" spans="1:18" x14ac:dyDescent="0.2">
      <c r="A71" s="72" t="s">
        <v>293</v>
      </c>
      <c r="B71" s="79" t="s">
        <v>282</v>
      </c>
      <c r="L71" s="80" t="str">
        <f>A65</f>
        <v>c4.69</v>
      </c>
      <c r="M71" s="96">
        <f>MAX(0,M62-I68)</f>
        <v>11000</v>
      </c>
    </row>
    <row r="72" spans="1:18" x14ac:dyDescent="0.2">
      <c r="A72" s="72" t="s">
        <v>302</v>
      </c>
      <c r="B72" s="113"/>
    </row>
    <row r="73" spans="1:18" x14ac:dyDescent="0.2">
      <c r="A73" s="72" t="s">
        <v>307</v>
      </c>
      <c r="B73" s="99"/>
      <c r="C73" s="99"/>
      <c r="D73" s="99"/>
      <c r="E73" s="99"/>
      <c r="F73" s="99"/>
      <c r="G73" s="99"/>
      <c r="H73" s="99"/>
      <c r="I73" s="99"/>
      <c r="J73" s="99"/>
      <c r="K73" s="99"/>
      <c r="L73" s="99"/>
      <c r="M73" s="99"/>
      <c r="N73" s="99"/>
      <c r="O73" s="99"/>
      <c r="P73" s="99"/>
      <c r="Q73" s="99"/>
      <c r="R73" s="92"/>
    </row>
    <row r="74" spans="1:18" x14ac:dyDescent="0.2">
      <c r="A74" s="72" t="s">
        <v>309</v>
      </c>
    </row>
    <row r="75" spans="1:18" x14ac:dyDescent="0.2">
      <c r="A75" s="72" t="s">
        <v>310</v>
      </c>
      <c r="B75" s="120"/>
      <c r="C75" s="120"/>
      <c r="D75" s="121"/>
      <c r="E75" s="100"/>
      <c r="F75" s="100"/>
      <c r="M75" s="83"/>
    </row>
    <row r="76" spans="1:18" ht="12" x14ac:dyDescent="0.25">
      <c r="A76" s="72" t="s">
        <v>311</v>
      </c>
      <c r="B76" s="109" t="s">
        <v>284</v>
      </c>
      <c r="C76" s="109"/>
      <c r="D76" s="120"/>
      <c r="E76" s="100"/>
      <c r="G76" s="100"/>
      <c r="H76" s="100"/>
      <c r="I76" s="100"/>
      <c r="J76" s="100"/>
      <c r="L76" s="80" t="str">
        <f>A66</f>
        <v>c4.70</v>
      </c>
      <c r="M76" s="96">
        <f>E23+M71</f>
        <v>11000</v>
      </c>
    </row>
    <row r="77" spans="1:18" ht="12" x14ac:dyDescent="0.25">
      <c r="A77" s="72" t="s">
        <v>312</v>
      </c>
      <c r="B77" s="120"/>
      <c r="C77" s="120"/>
      <c r="D77" s="120"/>
      <c r="E77" s="100"/>
      <c r="F77" s="100"/>
      <c r="G77" s="100"/>
      <c r="H77" s="100"/>
      <c r="I77" s="100"/>
      <c r="J77" s="100"/>
      <c r="K77" s="100"/>
      <c r="L77" s="100"/>
      <c r="M77" s="162"/>
    </row>
    <row r="78" spans="1:18" x14ac:dyDescent="0.2">
      <c r="A78" s="72" t="s">
        <v>313</v>
      </c>
      <c r="B78" s="92"/>
      <c r="C78" s="92"/>
      <c r="D78" s="92"/>
      <c r="E78" s="92"/>
      <c r="F78" s="92"/>
      <c r="G78" s="92"/>
      <c r="H78" s="92"/>
      <c r="L78" s="123" t="str">
        <f>A68</f>
        <v>c4.72</v>
      </c>
      <c r="M78" s="124">
        <f>M76</f>
        <v>11000</v>
      </c>
    </row>
    <row r="79" spans="1:18" x14ac:dyDescent="0.2">
      <c r="A79" s="72" t="s">
        <v>314</v>
      </c>
    </row>
    <row r="80" spans="1:18" x14ac:dyDescent="0.2">
      <c r="B80" s="125"/>
      <c r="C80" s="126"/>
      <c r="D80" s="126"/>
      <c r="E80" s="126"/>
      <c r="L80" s="126"/>
      <c r="M80" s="128" t="str">
        <f>D81&amp;" minus "&amp;L76</f>
        <v>c4.73 minus c4.70</v>
      </c>
    </row>
    <row r="81" spans="2:13" ht="12" x14ac:dyDescent="0.25">
      <c r="B81" s="129" t="s">
        <v>289</v>
      </c>
      <c r="D81" s="130" t="str">
        <f>A69</f>
        <v>c4.73</v>
      </c>
      <c r="E81" s="131">
        <f>'Initial calcs'!D13</f>
        <v>0</v>
      </c>
      <c r="K81" s="132" t="s">
        <v>291</v>
      </c>
      <c r="L81" s="130" t="str">
        <f>A70</f>
        <v>c4.74</v>
      </c>
      <c r="M81" s="133">
        <f>MAX(0,E81-M76)</f>
        <v>0</v>
      </c>
    </row>
    <row r="83" spans="2:13" x14ac:dyDescent="0.2">
      <c r="C83" s="79"/>
      <c r="D83" s="100"/>
      <c r="G83" s="100"/>
      <c r="H83" s="100"/>
      <c r="L83" s="134"/>
      <c r="M83" s="127" t="str">
        <f>"from "&amp;H41</f>
        <v>from c4.59</v>
      </c>
    </row>
    <row r="84" spans="2:13" ht="12" x14ac:dyDescent="0.25">
      <c r="B84" s="135" t="s">
        <v>269</v>
      </c>
      <c r="D84" s="100"/>
      <c r="G84" s="100"/>
      <c r="H84" s="100"/>
      <c r="L84" s="130" t="str">
        <f>A71</f>
        <v>c4.75</v>
      </c>
      <c r="M84" s="87">
        <f>I41</f>
        <v>0</v>
      </c>
    </row>
    <row r="86" spans="2:13" ht="12" x14ac:dyDescent="0.25">
      <c r="B86" s="136" t="s">
        <v>294</v>
      </c>
      <c r="C86" s="136"/>
      <c r="D86" s="137"/>
      <c r="E86" s="137"/>
      <c r="F86" s="137"/>
      <c r="G86" s="137"/>
      <c r="H86" s="137"/>
      <c r="I86" s="137"/>
      <c r="J86" s="137"/>
      <c r="K86" s="137"/>
      <c r="L86" s="137"/>
      <c r="M86" s="137"/>
    </row>
    <row r="87" spans="2:13" ht="12" x14ac:dyDescent="0.25">
      <c r="B87" s="138" t="s">
        <v>295</v>
      </c>
      <c r="C87" s="136"/>
      <c r="D87" s="137"/>
      <c r="E87" s="137"/>
      <c r="F87" s="137"/>
      <c r="G87" s="137"/>
      <c r="H87" s="137"/>
      <c r="I87" s="137"/>
      <c r="J87" s="137"/>
      <c r="K87" s="137"/>
      <c r="L87" s="137"/>
      <c r="M87" s="137"/>
    </row>
    <row r="88" spans="2:13" ht="12" x14ac:dyDescent="0.25">
      <c r="B88" s="138" t="s">
        <v>296</v>
      </c>
      <c r="C88" s="136"/>
      <c r="D88" s="137"/>
      <c r="E88" s="137"/>
      <c r="F88" s="137"/>
      <c r="G88" s="137"/>
      <c r="H88" s="137"/>
      <c r="I88" s="137"/>
      <c r="J88" s="137"/>
      <c r="K88" s="137"/>
      <c r="L88" s="137"/>
      <c r="M88" s="137"/>
    </row>
    <row r="89" spans="2:13" ht="12" x14ac:dyDescent="0.25">
      <c r="B89" s="139" t="s">
        <v>297</v>
      </c>
      <c r="C89" s="136"/>
      <c r="D89" s="137"/>
      <c r="E89" s="137"/>
      <c r="F89" s="137"/>
      <c r="G89" s="137"/>
      <c r="H89" s="137"/>
      <c r="I89" s="137"/>
      <c r="J89" s="137"/>
      <c r="K89" s="137"/>
      <c r="L89" s="137"/>
      <c r="M89" s="137"/>
    </row>
    <row r="90" spans="2:13" ht="12" x14ac:dyDescent="0.25">
      <c r="B90" s="139" t="s">
        <v>298</v>
      </c>
      <c r="C90" s="136"/>
      <c r="D90" s="137"/>
      <c r="E90" s="137"/>
      <c r="F90" s="137"/>
      <c r="G90" s="137"/>
      <c r="H90" s="137"/>
      <c r="I90" s="137"/>
      <c r="J90" s="137"/>
      <c r="K90" s="137"/>
      <c r="L90" s="137"/>
      <c r="M90" s="137"/>
    </row>
    <row r="91" spans="2:13" ht="12" x14ac:dyDescent="0.25">
      <c r="B91" s="139" t="s">
        <v>299</v>
      </c>
      <c r="C91" s="136"/>
      <c r="D91" s="137"/>
      <c r="E91" s="137"/>
      <c r="F91" s="137"/>
      <c r="G91" s="137"/>
      <c r="H91" s="137"/>
      <c r="I91" s="137"/>
      <c r="J91" s="137"/>
      <c r="K91" s="137"/>
      <c r="L91" s="137"/>
      <c r="M91" s="137"/>
    </row>
    <row r="92" spans="2:13" ht="12" x14ac:dyDescent="0.25">
      <c r="B92" s="136" t="s">
        <v>300</v>
      </c>
      <c r="C92" s="140"/>
      <c r="D92" s="137"/>
      <c r="E92" s="137"/>
      <c r="F92" s="137"/>
      <c r="G92" s="137"/>
      <c r="H92" s="137"/>
      <c r="I92" s="137"/>
      <c r="J92" s="137"/>
      <c r="K92" s="137"/>
      <c r="L92" s="137"/>
      <c r="M92" s="141"/>
    </row>
    <row r="93" spans="2:13" x14ac:dyDescent="0.2">
      <c r="B93" s="137"/>
      <c r="C93" s="142"/>
      <c r="D93" s="137"/>
      <c r="E93" s="137"/>
      <c r="F93" s="137"/>
      <c r="G93" s="137"/>
      <c r="H93" s="137"/>
      <c r="I93" s="137"/>
      <c r="J93" s="137"/>
      <c r="K93" s="141" t="s">
        <v>301</v>
      </c>
      <c r="L93" s="143" t="str">
        <f>A72</f>
        <v>c4.76</v>
      </c>
      <c r="M93" s="144">
        <f>IF(M81-(MIN('Initial calcs'!D8,PSA_HR))&gt;(BR_band+I41),1,0)</f>
        <v>0</v>
      </c>
    </row>
    <row r="94" spans="2:13" x14ac:dyDescent="0.2">
      <c r="B94" s="145" t="s">
        <v>595</v>
      </c>
      <c r="C94" s="146"/>
      <c r="D94" s="126"/>
      <c r="E94" s="126"/>
      <c r="F94" s="126"/>
      <c r="G94" s="126"/>
      <c r="H94" s="126"/>
      <c r="I94" s="126"/>
      <c r="J94" s="126"/>
      <c r="K94" s="126"/>
      <c r="L94" s="126"/>
      <c r="M94" s="126"/>
    </row>
    <row r="95" spans="2:13" x14ac:dyDescent="0.2">
      <c r="B95" s="145" t="str">
        <f>'[1]Deductions (c4)'!H224&amp;" = 0 (zero)"</f>
        <v>c4.68 = 0 (zero)</v>
      </c>
      <c r="C95" s="146"/>
      <c r="D95" s="126"/>
      <c r="E95" s="126"/>
      <c r="F95" s="126"/>
      <c r="G95" s="126"/>
      <c r="H95" s="126"/>
      <c r="I95" s="126"/>
      <c r="J95" s="126"/>
      <c r="K95" s="126"/>
      <c r="L95" s="126"/>
      <c r="M95" s="126"/>
    </row>
    <row r="96" spans="2:13" x14ac:dyDescent="0.2">
      <c r="B96" s="145" t="str">
        <f>"Calculate boxes "&amp;'[1]Deductions (c4)'!L227&amp;" through "&amp;'[1]Deductions (c4)'!L271</f>
        <v>Calculate boxes c4.69 through c4.76</v>
      </c>
      <c r="C96" s="146"/>
      <c r="D96" s="126"/>
      <c r="E96" s="126"/>
      <c r="F96" s="126"/>
      <c r="G96" s="126"/>
      <c r="H96" s="126"/>
      <c r="I96" s="126"/>
      <c r="J96" s="126"/>
      <c r="K96" s="126"/>
      <c r="L96" s="126"/>
      <c r="M96" s="126"/>
    </row>
    <row r="97" spans="2:13" x14ac:dyDescent="0.2">
      <c r="B97" s="145" t="s">
        <v>199</v>
      </c>
      <c r="C97" s="146"/>
      <c r="D97" s="126"/>
      <c r="E97" s="126"/>
      <c r="F97" s="126"/>
      <c r="G97" s="126"/>
      <c r="H97" s="126"/>
      <c r="I97" s="126"/>
      <c r="J97" s="126"/>
      <c r="K97" s="126"/>
      <c r="L97" s="126"/>
      <c r="M97" s="126"/>
    </row>
    <row r="98" spans="2:13" x14ac:dyDescent="0.2">
      <c r="B98" s="145" t="str">
        <f>"Retain calculation from "&amp;'[1]Deductions (c4)'!H224&amp;" to "&amp;'[1]Deductions (c4)'!L271</f>
        <v>Retain calculation from c4.68 to c4.76</v>
      </c>
      <c r="C98" s="146"/>
      <c r="D98" s="126"/>
      <c r="E98" s="126"/>
      <c r="F98" s="126"/>
      <c r="G98" s="126"/>
      <c r="H98" s="126"/>
      <c r="I98" s="126"/>
      <c r="J98" s="126"/>
      <c r="K98" s="126"/>
      <c r="L98" s="126"/>
      <c r="M98" s="126"/>
    </row>
    <row r="99" spans="2:13" x14ac:dyDescent="0.2">
      <c r="B99" s="145" t="s">
        <v>200</v>
      </c>
      <c r="C99" s="146"/>
      <c r="D99" s="126"/>
      <c r="E99" s="126"/>
      <c r="F99" s="126"/>
      <c r="G99" s="126"/>
      <c r="H99" s="126"/>
      <c r="I99" s="126"/>
      <c r="J99" s="126"/>
      <c r="K99" s="126"/>
      <c r="L99" s="126"/>
      <c r="M99" s="126"/>
    </row>
    <row r="100" spans="2:13" x14ac:dyDescent="0.2">
      <c r="B100" s="126"/>
      <c r="C100" s="146"/>
      <c r="D100" s="126"/>
      <c r="E100" s="126"/>
      <c r="F100" s="126"/>
      <c r="G100" s="126"/>
      <c r="H100" s="126"/>
      <c r="I100" s="126"/>
      <c r="J100" s="126"/>
      <c r="K100" s="126"/>
      <c r="L100" s="126"/>
      <c r="M100" s="126"/>
    </row>
    <row r="101" spans="2:13" ht="12" x14ac:dyDescent="0.25">
      <c r="B101" s="135" t="s">
        <v>303</v>
      </c>
      <c r="C101" s="146"/>
      <c r="D101" s="126"/>
      <c r="E101" s="126"/>
      <c r="F101" s="126"/>
      <c r="G101" s="126"/>
      <c r="H101" s="126"/>
      <c r="I101" s="126"/>
      <c r="J101" s="126"/>
      <c r="K101" s="126"/>
      <c r="L101" s="126"/>
      <c r="M101" s="126"/>
    </row>
    <row r="102" spans="2:13" x14ac:dyDescent="0.2">
      <c r="B102" s="138" t="str">
        <f>"Boxes "&amp;L104&amp;" and "&amp;L107&amp;" are used to calculate the amount of personal savings allowance"</f>
        <v>Boxes 4.77 and c4.78 are used to calculate the amount of personal savings allowance</v>
      </c>
      <c r="C102" s="142"/>
      <c r="D102" s="137"/>
      <c r="E102" s="137"/>
      <c r="F102" s="137"/>
      <c r="G102" s="137"/>
      <c r="H102" s="137"/>
      <c r="I102" s="137"/>
      <c r="J102" s="137"/>
      <c r="K102" s="137"/>
      <c r="L102" s="137"/>
      <c r="M102" s="137"/>
    </row>
    <row r="103" spans="2:13" ht="12" x14ac:dyDescent="0.25">
      <c r="B103" s="136" t="s">
        <v>300</v>
      </c>
      <c r="C103" s="136"/>
      <c r="D103" s="137"/>
      <c r="E103" s="137"/>
      <c r="F103" s="137"/>
      <c r="G103" s="137"/>
      <c r="H103" s="137"/>
      <c r="I103" s="137"/>
      <c r="J103" s="137"/>
      <c r="K103" s="137"/>
      <c r="L103" s="137"/>
      <c r="M103" s="141"/>
    </row>
    <row r="104" spans="2:13" x14ac:dyDescent="0.2">
      <c r="B104" s="137"/>
      <c r="C104" s="142"/>
      <c r="D104" s="137"/>
      <c r="E104" s="137"/>
      <c r="F104" s="137"/>
      <c r="G104" s="137"/>
      <c r="H104" s="137"/>
      <c r="I104" s="137"/>
      <c r="J104" s="137"/>
      <c r="K104" s="147" t="s">
        <v>304</v>
      </c>
      <c r="L104" s="143">
        <v>4.7699999999999996</v>
      </c>
      <c r="M104" s="148">
        <f>IF(M81&gt;BR_band+I41,1,0)</f>
        <v>0</v>
      </c>
    </row>
    <row r="105" spans="2:13" ht="12" x14ac:dyDescent="0.25">
      <c r="B105" s="149"/>
      <c r="C105" s="135"/>
      <c r="D105" s="126"/>
      <c r="E105" s="126"/>
      <c r="F105" s="126"/>
      <c r="G105" s="126"/>
      <c r="H105" s="126"/>
      <c r="I105" s="126"/>
      <c r="J105" s="126"/>
      <c r="K105" s="126"/>
      <c r="L105" s="126"/>
      <c r="M105" s="126"/>
    </row>
    <row r="106" spans="2:13" ht="12" x14ac:dyDescent="0.25">
      <c r="B106" s="135" t="s">
        <v>305</v>
      </c>
      <c r="C106" s="146"/>
      <c r="D106" s="126"/>
      <c r="E106" s="126"/>
      <c r="F106" s="126"/>
      <c r="G106" s="126"/>
      <c r="H106" s="126"/>
      <c r="I106" s="126"/>
      <c r="J106" s="126"/>
      <c r="K106" s="126"/>
      <c r="L106" s="126"/>
      <c r="M106" s="110"/>
    </row>
    <row r="107" spans="2:13" x14ac:dyDescent="0.2">
      <c r="B107" s="126"/>
      <c r="C107" s="146"/>
      <c r="D107" s="126"/>
      <c r="E107" s="126"/>
      <c r="F107" s="126"/>
      <c r="G107" s="126"/>
      <c r="H107" s="126"/>
      <c r="I107" s="126"/>
      <c r="J107" s="137"/>
      <c r="K107" s="147" t="s">
        <v>306</v>
      </c>
      <c r="L107" s="150" t="str">
        <f>A73</f>
        <v>c4.78</v>
      </c>
      <c r="M107" s="151">
        <f>IF(M81&gt;AHR_band+I41,1,0)</f>
        <v>0</v>
      </c>
    </row>
    <row r="108" spans="2:13" x14ac:dyDescent="0.2">
      <c r="B108" s="126"/>
      <c r="C108" s="146"/>
      <c r="D108" s="126"/>
      <c r="E108" s="126"/>
      <c r="F108" s="126"/>
      <c r="G108" s="126"/>
      <c r="H108" s="126"/>
      <c r="I108" s="126"/>
      <c r="J108" s="126"/>
      <c r="K108" s="126"/>
      <c r="L108" s="126"/>
      <c r="M108" s="126"/>
    </row>
    <row r="109" spans="2:13" x14ac:dyDescent="0.2">
      <c r="B109" s="126"/>
      <c r="C109" s="146"/>
      <c r="D109" s="126"/>
      <c r="E109" s="126"/>
      <c r="F109" s="126"/>
      <c r="G109" s="126"/>
      <c r="H109" s="126"/>
      <c r="I109" s="126"/>
      <c r="J109" s="126"/>
      <c r="K109" s="126"/>
      <c r="L109" s="126"/>
      <c r="M109" s="126"/>
    </row>
    <row r="110" spans="2:13" x14ac:dyDescent="0.2">
      <c r="B110" s="149" t="s">
        <v>308</v>
      </c>
      <c r="C110" s="146"/>
      <c r="D110" s="126"/>
      <c r="E110" s="126"/>
      <c r="F110" s="126"/>
      <c r="G110" s="126"/>
      <c r="H110" s="126"/>
      <c r="I110" s="126"/>
      <c r="J110" s="126"/>
      <c r="K110" s="126"/>
      <c r="L110" s="150" t="str">
        <f>A74</f>
        <v>c4.79</v>
      </c>
      <c r="M110" s="151">
        <f>IF(AHR_case_PSA=1,PSA_AHR,IF(HR_case_PSA=1,PSA_HR,PSA_BR))</f>
        <v>1000</v>
      </c>
    </row>
    <row r="112" spans="2:13" ht="12" x14ac:dyDescent="0.25">
      <c r="B112" s="136" t="s">
        <v>143</v>
      </c>
      <c r="C112" s="137"/>
      <c r="D112" s="137"/>
      <c r="E112" s="137"/>
      <c r="F112" s="137"/>
      <c r="G112" s="137"/>
      <c r="H112" s="137"/>
      <c r="I112" s="137"/>
      <c r="J112" s="137"/>
      <c r="K112" s="137"/>
      <c r="L112" s="150" t="str">
        <f>A75</f>
        <v>c4.80</v>
      </c>
      <c r="M112" s="148">
        <f>IF(non_resident,0,DTA)</f>
        <v>5000</v>
      </c>
    </row>
    <row r="224" spans="1:1" x14ac:dyDescent="0.2">
      <c r="A224" s="92"/>
    </row>
    <row r="225" spans="1:1" x14ac:dyDescent="0.2">
      <c r="A225" s="9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Q148"/>
  <sheetViews>
    <sheetView topLeftCell="AA1" zoomScale="102" zoomScaleNormal="102" workbookViewId="0">
      <selection activeCell="AL28" sqref="AL28"/>
    </sheetView>
  </sheetViews>
  <sheetFormatPr defaultColWidth="9.109375" defaultRowHeight="11.4" x14ac:dyDescent="0.2"/>
  <cols>
    <col min="1" max="1" width="5.88671875" style="72" hidden="1" customWidth="1"/>
    <col min="2" max="2" width="2.5546875" style="72" customWidth="1"/>
    <col min="3" max="3" width="17.88671875" style="125" customWidth="1"/>
    <col min="4" max="4" width="14.6640625" style="72" customWidth="1"/>
    <col min="5" max="5" width="5.5546875" style="72" customWidth="1"/>
    <col min="6" max="6" width="22.33203125" style="72" customWidth="1"/>
    <col min="7" max="8" width="9.33203125" style="72" customWidth="1"/>
    <col min="9" max="9" width="5.5546875" style="72" customWidth="1"/>
    <col min="10" max="10" width="22.33203125" style="72" customWidth="1"/>
    <col min="11" max="12" width="9.33203125" style="72" customWidth="1"/>
    <col min="13" max="13" width="5.5546875" style="72" customWidth="1"/>
    <col min="14" max="14" width="22.44140625" style="72" customWidth="1"/>
    <col min="15" max="16" width="9.33203125" style="72" customWidth="1"/>
    <col min="17" max="17" width="5.5546875" style="72" customWidth="1"/>
    <col min="18" max="18" width="22.44140625" style="72" customWidth="1"/>
    <col min="19" max="20" width="9.33203125" style="72" customWidth="1"/>
    <col min="21" max="21" width="5.5546875" style="72" customWidth="1"/>
    <col min="22" max="22" width="22.44140625" style="72" customWidth="1"/>
    <col min="23" max="24" width="9.33203125" style="72" customWidth="1"/>
    <col min="25" max="25" width="5.5546875" style="72" customWidth="1"/>
    <col min="26" max="26" width="22.33203125" style="72" customWidth="1"/>
    <col min="27" max="28" width="9.33203125" style="72" customWidth="1"/>
    <col min="29" max="29" width="5.5546875" style="72" customWidth="1"/>
    <col min="30" max="30" width="22.33203125" style="72" customWidth="1"/>
    <col min="31" max="31" width="5.5546875" style="72" customWidth="1"/>
    <col min="32" max="32" width="9.33203125" style="72" customWidth="1"/>
    <col min="33" max="33" width="5.5546875" style="72" customWidth="1"/>
    <col min="34" max="34" width="22.33203125" style="72" customWidth="1"/>
    <col min="35" max="35" width="5.5546875" style="72" customWidth="1"/>
    <col min="36" max="36" width="9.33203125" style="72" customWidth="1"/>
    <col min="37" max="37" width="5.6640625" style="72" customWidth="1"/>
    <col min="38" max="38" width="22.33203125" style="72" customWidth="1"/>
    <col min="39" max="40" width="9.33203125" style="72" customWidth="1"/>
    <col min="41" max="41" width="5.5546875" style="72" customWidth="1"/>
    <col min="42" max="42" width="22.33203125" style="72" customWidth="1"/>
    <col min="43" max="45" width="5.5546875" style="72" customWidth="1"/>
    <col min="46" max="46" width="22.33203125" style="72" customWidth="1"/>
    <col min="47" max="49" width="5.5546875" style="72" customWidth="1"/>
    <col min="50" max="50" width="22.33203125" style="72" customWidth="1"/>
    <col min="51" max="53" width="5.5546875" style="72" customWidth="1"/>
    <col min="54" max="54" width="22.33203125" style="72" customWidth="1"/>
    <col min="55" max="55" width="18.5546875" style="72" customWidth="1"/>
    <col min="56" max="56" width="4.6640625" style="72" customWidth="1"/>
    <col min="57" max="16384" width="9.109375" style="72"/>
  </cols>
  <sheetData>
    <row r="1" spans="1:43" ht="17.399999999999999" x14ac:dyDescent="0.3">
      <c r="A1" s="72" t="s">
        <v>340</v>
      </c>
      <c r="B1" s="165" t="s">
        <v>341</v>
      </c>
      <c r="C1" s="119"/>
      <c r="G1" s="158" t="s">
        <v>333</v>
      </c>
      <c r="H1" s="76"/>
      <c r="I1" s="76"/>
      <c r="J1" s="76"/>
      <c r="K1" s="76"/>
      <c r="L1" s="77"/>
      <c r="M1" s="100"/>
      <c r="N1" s="100"/>
      <c r="O1" s="100"/>
      <c r="P1" s="100"/>
    </row>
    <row r="2" spans="1:43" ht="17.399999999999999" x14ac:dyDescent="0.3">
      <c r="A2" s="72" t="s">
        <v>342</v>
      </c>
      <c r="C2" s="165" t="s">
        <v>343</v>
      </c>
    </row>
    <row r="3" spans="1:43" ht="12" customHeight="1" x14ac:dyDescent="0.3">
      <c r="A3" s="72" t="s">
        <v>344</v>
      </c>
      <c r="C3" s="165"/>
      <c r="E3" s="166"/>
      <c r="F3" s="167"/>
      <c r="G3" s="168"/>
    </row>
    <row r="4" spans="1:43" ht="12" customHeight="1" x14ac:dyDescent="0.3">
      <c r="A4" s="72" t="s">
        <v>345</v>
      </c>
      <c r="C4" s="165"/>
      <c r="E4" s="166"/>
      <c r="F4" s="166"/>
      <c r="G4" s="168"/>
    </row>
    <row r="5" spans="1:43" ht="12" customHeight="1" x14ac:dyDescent="0.3">
      <c r="A5" s="72" t="s">
        <v>346</v>
      </c>
      <c r="C5" s="165"/>
      <c r="E5" s="166"/>
      <c r="F5" s="166"/>
      <c r="G5" s="168"/>
    </row>
    <row r="6" spans="1:43" ht="12" customHeight="1" x14ac:dyDescent="0.3">
      <c r="A6" s="72" t="s">
        <v>347</v>
      </c>
      <c r="C6" s="165"/>
      <c r="E6" s="166"/>
      <c r="F6" s="167"/>
      <c r="G6" s="168"/>
    </row>
    <row r="7" spans="1:43" ht="12" customHeight="1" x14ac:dyDescent="0.25">
      <c r="A7" s="72" t="s">
        <v>348</v>
      </c>
      <c r="E7" s="166"/>
      <c r="F7" s="166"/>
      <c r="G7" s="168"/>
      <c r="R7" s="167"/>
      <c r="S7" s="83"/>
      <c r="T7" s="83"/>
      <c r="U7" s="83"/>
      <c r="V7" s="83"/>
      <c r="AD7" s="75"/>
      <c r="AE7" s="169"/>
    </row>
    <row r="8" spans="1:43" ht="12" customHeight="1" x14ac:dyDescent="0.25">
      <c r="A8" s="72" t="s">
        <v>349</v>
      </c>
      <c r="C8" s="170"/>
      <c r="D8" s="171" t="s">
        <v>350</v>
      </c>
      <c r="E8" s="172" t="str">
        <f>A1</f>
        <v>c5.1</v>
      </c>
      <c r="F8" s="96">
        <f>'Stage 4'!M76</f>
        <v>11000</v>
      </c>
      <c r="G8" s="168"/>
      <c r="O8" s="166"/>
      <c r="P8" s="167" t="s">
        <v>351</v>
      </c>
      <c r="Q8" s="172" t="str">
        <f>A2</f>
        <v>c5.2</v>
      </c>
      <c r="R8" s="96">
        <f>32000+'Stage 4'!I41</f>
        <v>32000</v>
      </c>
      <c r="S8" s="155"/>
      <c r="T8" s="155"/>
      <c r="U8" s="155"/>
      <c r="V8" s="155"/>
    </row>
    <row r="9" spans="1:43" ht="12" customHeight="1" x14ac:dyDescent="0.2">
      <c r="A9" s="72" t="s">
        <v>352</v>
      </c>
      <c r="B9" s="99"/>
      <c r="C9" s="173"/>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row>
    <row r="10" spans="1:43" ht="12" customHeight="1" x14ac:dyDescent="0.2">
      <c r="A10" s="72" t="s">
        <v>353</v>
      </c>
      <c r="C10" s="119"/>
    </row>
    <row r="11" spans="1:43" ht="12" customHeight="1" x14ac:dyDescent="0.25">
      <c r="A11" s="72" t="s">
        <v>354</v>
      </c>
      <c r="G11" s="168"/>
      <c r="J11" s="174"/>
      <c r="R11" s="175" t="s">
        <v>602</v>
      </c>
      <c r="S11" s="174"/>
      <c r="T11" s="174"/>
      <c r="U11" s="174"/>
      <c r="V11" s="174"/>
      <c r="AD11" s="175" t="s">
        <v>606</v>
      </c>
      <c r="AL11" s="174"/>
      <c r="AP11" s="175" t="s">
        <v>601</v>
      </c>
    </row>
    <row r="12" spans="1:43" ht="12" customHeight="1" x14ac:dyDescent="0.25">
      <c r="A12" s="72" t="s">
        <v>355</v>
      </c>
      <c r="E12" s="166"/>
      <c r="F12" s="171"/>
      <c r="G12" s="168"/>
    </row>
    <row r="13" spans="1:43" ht="12" customHeight="1" x14ac:dyDescent="0.25">
      <c r="A13" s="72" t="s">
        <v>356</v>
      </c>
      <c r="E13" s="166"/>
      <c r="F13" s="166"/>
      <c r="G13" s="168"/>
    </row>
    <row r="14" spans="1:43" ht="12" customHeight="1" x14ac:dyDescent="0.25">
      <c r="A14" s="72" t="s">
        <v>357</v>
      </c>
      <c r="E14" s="166"/>
      <c r="F14" s="166"/>
      <c r="G14" s="168"/>
    </row>
    <row r="15" spans="1:43" ht="12" customHeight="1" x14ac:dyDescent="0.25">
      <c r="A15" s="72" t="s">
        <v>358</v>
      </c>
      <c r="E15" s="166"/>
      <c r="F15" s="166"/>
      <c r="G15" s="168"/>
      <c r="AD15" s="167"/>
    </row>
    <row r="16" spans="1:43" ht="12" customHeight="1" x14ac:dyDescent="0.25">
      <c r="A16" s="72" t="s">
        <v>359</v>
      </c>
      <c r="E16" s="166"/>
      <c r="F16" s="166"/>
      <c r="G16" s="168"/>
      <c r="R16" s="167" t="str">
        <f>"lower of "&amp;E17&amp;" and "&amp;Q8</f>
        <v>lower of c5.3 and c5.2</v>
      </c>
      <c r="S16" s="83"/>
      <c r="T16" s="83"/>
      <c r="U16" s="83"/>
      <c r="V16" s="83"/>
      <c r="AD16" s="167"/>
      <c r="AP16" s="167" t="str">
        <f>E17&amp;" minus ("&amp;Q17&amp;" + "&amp;AC17&amp;")"</f>
        <v>c5.3 minus (c5.4 + c5.5)</v>
      </c>
    </row>
    <row r="17" spans="1:43" ht="12" customHeight="1" x14ac:dyDescent="0.25">
      <c r="A17" s="72" t="s">
        <v>360</v>
      </c>
      <c r="C17" s="176" t="s">
        <v>361</v>
      </c>
      <c r="E17" s="172" t="str">
        <f>A3</f>
        <v>c5.3</v>
      </c>
      <c r="F17" s="96">
        <f>'Initial calcs'!D2</f>
        <v>0</v>
      </c>
      <c r="G17" s="168"/>
      <c r="Q17" s="172" t="str">
        <f>A4</f>
        <v>c5.4</v>
      </c>
      <c r="R17" s="96">
        <f>MIN(F17,R8)</f>
        <v>0</v>
      </c>
      <c r="S17" s="155"/>
      <c r="T17" s="155"/>
      <c r="U17" s="155"/>
      <c r="V17" s="155"/>
      <c r="AC17" s="172" t="str">
        <f>A5</f>
        <v>c5.5</v>
      </c>
      <c r="AD17" s="96">
        <f>MAX(0,MIN((F17-R17),HR_band))</f>
        <v>0</v>
      </c>
      <c r="AO17" s="172" t="str">
        <f>A6</f>
        <v>c5.6</v>
      </c>
      <c r="AP17" s="133">
        <f>MAX(0,F17-(R17+AD17))</f>
        <v>0</v>
      </c>
    </row>
    <row r="18" spans="1:43" ht="12" customHeight="1" x14ac:dyDescent="0.2">
      <c r="A18" s="72" t="s">
        <v>362</v>
      </c>
      <c r="B18" s="99"/>
      <c r="C18" s="173"/>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row>
    <row r="19" spans="1:43" ht="12" customHeight="1" x14ac:dyDescent="0.2">
      <c r="A19" s="72" t="s">
        <v>363</v>
      </c>
      <c r="C19" s="119"/>
    </row>
    <row r="20" spans="1:43" ht="12" customHeight="1" x14ac:dyDescent="0.25">
      <c r="A20" s="72" t="s">
        <v>364</v>
      </c>
      <c r="C20" s="119"/>
      <c r="G20" s="168"/>
      <c r="R20" s="175" t="s">
        <v>602</v>
      </c>
      <c r="S20" s="174"/>
      <c r="T20" s="174"/>
      <c r="U20" s="174"/>
      <c r="V20" s="174"/>
      <c r="AD20" s="175" t="s">
        <v>606</v>
      </c>
      <c r="AP20" s="175" t="s">
        <v>601</v>
      </c>
    </row>
    <row r="21" spans="1:43" ht="12" x14ac:dyDescent="0.25">
      <c r="A21" s="72" t="s">
        <v>365</v>
      </c>
      <c r="C21" s="119"/>
      <c r="G21" s="168"/>
    </row>
    <row r="22" spans="1:43" ht="12" x14ac:dyDescent="0.25">
      <c r="A22" s="72" t="s">
        <v>366</v>
      </c>
      <c r="G22" s="168"/>
      <c r="R22" s="167"/>
      <c r="S22" s="83"/>
      <c r="T22" s="83"/>
      <c r="U22" s="83"/>
      <c r="V22" s="83"/>
      <c r="AC22" s="166"/>
      <c r="AD22" s="167"/>
    </row>
    <row r="23" spans="1:43" ht="12" customHeight="1" x14ac:dyDescent="0.25">
      <c r="A23" s="72" t="s">
        <v>367</v>
      </c>
      <c r="F23" s="167" t="str">
        <f>"from "&amp;'[1]NS income (c1)'!I136</f>
        <v>from c1.58</v>
      </c>
      <c r="G23" s="168"/>
      <c r="R23" s="167"/>
      <c r="S23" s="83"/>
      <c r="T23" s="83"/>
      <c r="U23" s="83"/>
      <c r="V23" s="83"/>
      <c r="AC23" s="166"/>
      <c r="AD23" s="167"/>
      <c r="AP23" s="167" t="str">
        <f>E24&amp;" minus ("&amp;Q24&amp;" + "&amp;AC24&amp;")"</f>
        <v>c5.7 minus (c5.8 + c5.9)</v>
      </c>
    </row>
    <row r="24" spans="1:43" ht="12" customHeight="1" x14ac:dyDescent="0.25">
      <c r="A24" s="72" t="s">
        <v>368</v>
      </c>
      <c r="C24" s="176" t="s">
        <v>369</v>
      </c>
      <c r="E24" s="177" t="str">
        <f>A7</f>
        <v>c5.7</v>
      </c>
      <c r="F24" s="178">
        <f>'Initial calcs'!D3</f>
        <v>0</v>
      </c>
      <c r="G24" s="168"/>
      <c r="Q24" s="177" t="str">
        <f>A8</f>
        <v>c5.8</v>
      </c>
      <c r="R24" s="178">
        <f>MAX(0,MIN(F24,R8-R17))</f>
        <v>0</v>
      </c>
      <c r="S24" s="179"/>
      <c r="T24" s="179"/>
      <c r="U24" s="179"/>
      <c r="V24" s="179"/>
      <c r="AC24" s="177" t="str">
        <f>A9</f>
        <v>c5.9</v>
      </c>
      <c r="AD24" s="133">
        <f>MAX(0,MIN((F24-R24),HR_band-AD17))</f>
        <v>0</v>
      </c>
      <c r="AO24" s="177" t="str">
        <f>A10</f>
        <v>c5.10</v>
      </c>
      <c r="AP24" s="133">
        <f>MAX(0,F24-(R24+AD24))</f>
        <v>0</v>
      </c>
    </row>
    <row r="25" spans="1:43" ht="12" customHeight="1" x14ac:dyDescent="0.2">
      <c r="A25" s="72" t="s">
        <v>370</v>
      </c>
      <c r="B25" s="99"/>
      <c r="C25" s="173"/>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row>
    <row r="26" spans="1:43" ht="12" customHeight="1" x14ac:dyDescent="0.2">
      <c r="A26" s="72" t="s">
        <v>371</v>
      </c>
      <c r="C26" s="119"/>
    </row>
    <row r="27" spans="1:43" ht="12" customHeight="1" x14ac:dyDescent="0.25">
      <c r="A27" s="72" t="s">
        <v>372</v>
      </c>
      <c r="C27" s="119"/>
      <c r="G27" s="168"/>
      <c r="J27" s="175" t="s">
        <v>373</v>
      </c>
      <c r="R27" s="175" t="s">
        <v>602</v>
      </c>
      <c r="S27" s="174"/>
      <c r="T27" s="174"/>
      <c r="U27" s="174"/>
      <c r="V27" s="174"/>
      <c r="Z27" s="175" t="s">
        <v>374</v>
      </c>
      <c r="AD27" s="175" t="s">
        <v>606</v>
      </c>
      <c r="AP27" s="175" t="s">
        <v>601</v>
      </c>
    </row>
    <row r="28" spans="1:43" ht="12" customHeight="1" x14ac:dyDescent="0.25">
      <c r="A28" s="72" t="s">
        <v>375</v>
      </c>
      <c r="C28" s="119"/>
      <c r="G28" s="168"/>
      <c r="H28" s="180"/>
      <c r="I28" s="166"/>
      <c r="J28" s="167"/>
      <c r="R28" s="174"/>
      <c r="S28" s="174"/>
      <c r="T28" s="174"/>
      <c r="U28" s="174"/>
      <c r="V28" s="174"/>
      <c r="Z28" s="174"/>
      <c r="AD28" s="174"/>
      <c r="AP28" s="174"/>
    </row>
    <row r="29" spans="1:43" ht="12" customHeight="1" x14ac:dyDescent="0.25">
      <c r="A29" s="72" t="s">
        <v>376</v>
      </c>
      <c r="G29" s="168"/>
      <c r="H29" s="181"/>
      <c r="I29" s="177" t="str">
        <f>A12</f>
        <v>c5.12</v>
      </c>
      <c r="J29" s="96">
        <f>MAX(0,MIN(F36,SR_band+'Stage 4'!M110))</f>
        <v>0</v>
      </c>
      <c r="Y29" s="182"/>
      <c r="Z29" s="183" t="s">
        <v>596</v>
      </c>
    </row>
    <row r="30" spans="1:43" ht="12" customHeight="1" x14ac:dyDescent="0.25">
      <c r="A30" s="72" t="s">
        <v>377</v>
      </c>
      <c r="G30" s="168"/>
      <c r="I30" s="166"/>
      <c r="J30" s="167"/>
      <c r="Y30" s="172" t="str">
        <f>A17</f>
        <v>c5.17</v>
      </c>
      <c r="Z30" s="96">
        <f>MAX(0,HR_band-(AD17+AD24))</f>
        <v>118000</v>
      </c>
    </row>
    <row r="31" spans="1:43" ht="12" customHeight="1" x14ac:dyDescent="0.25">
      <c r="A31" s="72" t="s">
        <v>378</v>
      </c>
      <c r="E31" s="166"/>
      <c r="F31" s="171"/>
      <c r="G31" s="168"/>
      <c r="I31" s="177" t="str">
        <f>A13</f>
        <v>c5.13</v>
      </c>
      <c r="J31" s="96">
        <f>MAX(0,MIN(J29,R8-R17))</f>
        <v>0</v>
      </c>
      <c r="R31" s="184"/>
      <c r="S31" s="184"/>
      <c r="T31" s="184"/>
      <c r="Y31" s="167"/>
      <c r="Z31" s="166" t="s">
        <v>379</v>
      </c>
    </row>
    <row r="32" spans="1:43" ht="12" customHeight="1" x14ac:dyDescent="0.25">
      <c r="A32" s="72" t="s">
        <v>380</v>
      </c>
      <c r="E32" s="166"/>
      <c r="F32" s="166"/>
      <c r="G32" s="168"/>
      <c r="H32" s="166"/>
      <c r="I32" s="166"/>
      <c r="J32" s="167"/>
      <c r="Y32" s="167"/>
      <c r="Z32" s="167"/>
      <c r="AD32" s="83"/>
    </row>
    <row r="33" spans="1:43" ht="12" customHeight="1" x14ac:dyDescent="0.25">
      <c r="A33" s="72" t="s">
        <v>381</v>
      </c>
      <c r="E33" s="166"/>
      <c r="F33" s="166"/>
      <c r="G33" s="168"/>
      <c r="H33" s="166"/>
      <c r="I33" s="166"/>
      <c r="J33" s="167"/>
      <c r="R33" s="166"/>
      <c r="Y33" s="172" t="str">
        <f>A18</f>
        <v>c5.18</v>
      </c>
      <c r="Z33" s="96">
        <f>MAX(0,MIN('Stage 4'!M110-J36,Z30))</f>
        <v>1000</v>
      </c>
      <c r="AB33" s="166"/>
      <c r="AC33" s="166"/>
      <c r="AD33" s="166" t="s">
        <v>379</v>
      </c>
    </row>
    <row r="34" spans="1:43" ht="12" customHeight="1" x14ac:dyDescent="0.25">
      <c r="A34" s="72" t="s">
        <v>382</v>
      </c>
      <c r="E34" s="166"/>
      <c r="F34" s="166"/>
      <c r="G34" s="168"/>
      <c r="I34" s="177" t="str">
        <f>A14</f>
        <v>c5.14</v>
      </c>
      <c r="J34" s="96">
        <f>MAX(0,'Stage 4'!M110,SR_band-((R17+R24)-F8))</f>
        <v>16000</v>
      </c>
      <c r="R34" s="167"/>
      <c r="S34" s="83"/>
      <c r="T34" s="83"/>
      <c r="Y34" s="167"/>
      <c r="Z34" s="166"/>
      <c r="AB34" s="166"/>
      <c r="AC34" s="166"/>
      <c r="AD34" s="167"/>
      <c r="AP34" s="166" t="str">
        <f>E36&amp;" minus"</f>
        <v>c5.11 minus</v>
      </c>
    </row>
    <row r="35" spans="1:43" ht="12" customHeight="1" x14ac:dyDescent="0.25">
      <c r="A35" s="72" t="s">
        <v>383</v>
      </c>
      <c r="E35" s="166"/>
      <c r="F35" s="166"/>
      <c r="G35" s="168"/>
      <c r="J35" s="167" t="str">
        <f>"lower of "&amp;I31&amp;" and "&amp;I34</f>
        <v>lower of c5.13 and c5.14</v>
      </c>
      <c r="R35" s="167"/>
      <c r="S35" s="83"/>
      <c r="T35" s="83"/>
      <c r="Y35" s="166"/>
      <c r="Z35" s="167"/>
      <c r="AB35" s="166"/>
      <c r="AC35" s="166"/>
      <c r="AD35" s="167"/>
      <c r="AP35" s="167" t="str">
        <f>"("&amp;I36&amp;" + "&amp;Q36&amp;" + "&amp;Y36&amp;" + "&amp;AC36&amp;")"</f>
        <v>(c5.15 + c5.16 + c5.19 + c5.20)</v>
      </c>
    </row>
    <row r="36" spans="1:43" ht="12" customHeight="1" x14ac:dyDescent="0.25">
      <c r="A36" s="72" t="s">
        <v>384</v>
      </c>
      <c r="C36" s="176" t="s">
        <v>385</v>
      </c>
      <c r="E36" s="177" t="str">
        <f>A11</f>
        <v>c5.11</v>
      </c>
      <c r="F36" s="96">
        <f>'Initial calcs'!D6</f>
        <v>0</v>
      </c>
      <c r="G36" s="168"/>
      <c r="I36" s="172" t="str">
        <f>A15</f>
        <v>c5.15</v>
      </c>
      <c r="J36" s="96">
        <f>MAX(0,MIN(J31,J34))</f>
        <v>0</v>
      </c>
      <c r="Q36" s="172" t="str">
        <f>A16</f>
        <v>c5.16</v>
      </c>
      <c r="R36" s="133">
        <f>MAX(0,MIN(F36-J36,R8-(R17+R24+J36)))</f>
        <v>0</v>
      </c>
      <c r="S36" s="120"/>
      <c r="T36" s="120"/>
      <c r="Y36" s="177" t="str">
        <f>A19</f>
        <v>c5.19</v>
      </c>
      <c r="Z36" s="133">
        <f>MAX(0,MIN(Z33,F36-(J36+R36)))</f>
        <v>0</v>
      </c>
      <c r="AA36" s="75"/>
      <c r="AC36" s="177" t="str">
        <f>A20</f>
        <v>c5.20</v>
      </c>
      <c r="AD36" s="96">
        <f>MAX(0,MIN(F36-(J36+R36+Z36),Z30))</f>
        <v>0</v>
      </c>
      <c r="AO36" s="177" t="str">
        <f>A21</f>
        <v>c5.21</v>
      </c>
      <c r="AP36" s="133">
        <f>MAX(0,F36-(J36+R36+Z36+AD36))</f>
        <v>0</v>
      </c>
      <c r="AQ36" s="75"/>
    </row>
    <row r="37" spans="1:43" ht="12" customHeight="1" x14ac:dyDescent="0.2">
      <c r="A37" s="72" t="s">
        <v>386</v>
      </c>
      <c r="B37" s="99"/>
      <c r="C37" s="173"/>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row>
    <row r="38" spans="1:43" ht="12" customHeight="1" x14ac:dyDescent="0.2">
      <c r="A38" s="72" t="s">
        <v>387</v>
      </c>
      <c r="C38" s="119"/>
    </row>
    <row r="39" spans="1:43" ht="12" x14ac:dyDescent="0.25">
      <c r="A39" s="72" t="s">
        <v>388</v>
      </c>
      <c r="G39" s="168"/>
      <c r="J39" s="175" t="s">
        <v>389</v>
      </c>
      <c r="R39" s="175" t="s">
        <v>598</v>
      </c>
      <c r="S39" s="174"/>
      <c r="T39" s="166"/>
      <c r="U39" s="182"/>
      <c r="V39" s="183"/>
      <c r="Z39" s="175" t="s">
        <v>374</v>
      </c>
      <c r="AD39" s="175" t="s">
        <v>600</v>
      </c>
      <c r="AF39" s="166"/>
      <c r="AG39" s="182"/>
      <c r="AH39" s="183" t="s">
        <v>597</v>
      </c>
      <c r="AL39" s="175" t="s">
        <v>390</v>
      </c>
      <c r="AP39" s="175" t="s">
        <v>603</v>
      </c>
    </row>
    <row r="40" spans="1:43" ht="12" x14ac:dyDescent="0.25">
      <c r="A40" s="72" t="s">
        <v>391</v>
      </c>
      <c r="G40" s="168"/>
      <c r="J40" s="174"/>
      <c r="S40" s="174"/>
      <c r="T40" s="174"/>
      <c r="U40" s="177" t="str">
        <f>A26</f>
        <v>c5.26</v>
      </c>
      <c r="V40" s="96">
        <f>MAX(0,HR_band-(AD17+AD24+AD36))</f>
        <v>118000</v>
      </c>
      <c r="Z40" s="174"/>
      <c r="AD40" s="174"/>
      <c r="AG40" s="177" t="str">
        <f>A31</f>
        <v>c5.31</v>
      </c>
      <c r="AH40" s="96">
        <f>MAX(0,HR_band-(AP17+AP24+AP36))</f>
        <v>118000</v>
      </c>
      <c r="AL40" s="174"/>
      <c r="AP40" s="174"/>
    </row>
    <row r="41" spans="1:43" ht="12" x14ac:dyDescent="0.25">
      <c r="A41" s="72" t="s">
        <v>392</v>
      </c>
      <c r="E41" s="166"/>
      <c r="F41" s="171"/>
      <c r="G41" s="168"/>
      <c r="J41" s="167"/>
      <c r="AD41" s="174"/>
    </row>
    <row r="42" spans="1:43" ht="12" x14ac:dyDescent="0.25">
      <c r="A42" s="72" t="s">
        <v>393</v>
      </c>
      <c r="E42" s="166"/>
      <c r="F42" s="185"/>
      <c r="G42" s="168"/>
      <c r="I42" s="177" t="str">
        <f>A23</f>
        <v>c5.23</v>
      </c>
      <c r="J42" s="131">
        <f>MIN(F46,'Stage 4'!M112)</f>
        <v>0</v>
      </c>
      <c r="Q42" s="186"/>
      <c r="R42" s="186"/>
      <c r="S42" s="116"/>
      <c r="T42" s="116"/>
      <c r="U42" s="167"/>
      <c r="V42" s="167"/>
    </row>
    <row r="43" spans="1:43" ht="12" x14ac:dyDescent="0.25">
      <c r="A43" s="72" t="s">
        <v>394</v>
      </c>
      <c r="E43" s="166"/>
      <c r="F43" s="166"/>
      <c r="G43" s="168"/>
      <c r="J43" s="83"/>
      <c r="Q43" s="166"/>
      <c r="R43" s="167"/>
      <c r="S43" s="83"/>
      <c r="T43" s="83"/>
      <c r="U43" s="177" t="str">
        <f>A27</f>
        <v>c5.27</v>
      </c>
      <c r="V43" s="96">
        <f>MAX(0,MIN('Stage 4'!M112,V40))</f>
        <v>5000</v>
      </c>
      <c r="AC43" s="166"/>
      <c r="AD43" s="166" t="s">
        <v>379</v>
      </c>
      <c r="AG43" s="166"/>
      <c r="AH43" s="166" t="str">
        <f>"lower of "&amp;E46&amp;" minus"</f>
        <v>lower of c5.22 minus</v>
      </c>
    </row>
    <row r="44" spans="1:43" ht="12" x14ac:dyDescent="0.25">
      <c r="A44" s="72" t="s">
        <v>395</v>
      </c>
      <c r="E44" s="166"/>
      <c r="F44" s="166"/>
      <c r="G44" s="168"/>
      <c r="H44" s="166"/>
      <c r="I44" s="166"/>
      <c r="J44" s="166"/>
      <c r="Q44" s="166"/>
      <c r="R44" s="166"/>
      <c r="Z44" s="167" t="str">
        <f>"lower of ("&amp;U46&amp;" and"</f>
        <v>lower of (c5.28 and</v>
      </c>
      <c r="AC44" s="166"/>
      <c r="AD44" s="167" t="str">
        <f>"("&amp;E46&amp;" minus ("&amp;I46&amp;" + "&amp;Q46&amp;" + "&amp;Y46&amp;") and"</f>
        <v>(c5.22 minus (c5.24 + c5.25 + c5.29) and</v>
      </c>
      <c r="AG44" s="166"/>
      <c r="AH44" s="167" t="str">
        <f>"("&amp;I46&amp;" + "&amp;Q46&amp;" + "&amp;Y46&amp;" + "&amp;AC46&amp;") and"</f>
        <v>(c5.24 + c5.25 + c5.29 + c5.30) and</v>
      </c>
      <c r="AO44" s="166"/>
      <c r="AP44" s="166" t="str">
        <f>E46&amp;" minus "</f>
        <v xml:space="preserve">c5.22 minus </v>
      </c>
    </row>
    <row r="45" spans="1:43" ht="12" x14ac:dyDescent="0.25">
      <c r="A45" s="72" t="s">
        <v>396</v>
      </c>
      <c r="E45" s="166"/>
      <c r="F45" s="166"/>
      <c r="G45" s="168"/>
      <c r="H45" s="166"/>
      <c r="I45" s="166"/>
      <c r="J45" s="167"/>
      <c r="Q45" s="166"/>
      <c r="R45" s="167"/>
      <c r="S45" s="83"/>
      <c r="T45" s="83"/>
      <c r="U45" s="167"/>
      <c r="V45" s="167"/>
      <c r="Z45" s="167" t="str">
        <f>"("&amp;E46&amp;" minus ("&amp;I46&amp;" + "&amp;Q46&amp;"))"</f>
        <v>(c5.22 minus (c5.24 + c5.25))</v>
      </c>
      <c r="AC45" s="166"/>
      <c r="AD45" s="167" t="str">
        <f>U40&amp;")"</f>
        <v>c5.26)</v>
      </c>
      <c r="AG45" s="166"/>
      <c r="AH45" s="187" t="str">
        <f>'[1]Deductions (c4)'!L312&amp;" minus ("&amp;I46&amp;" + "&amp;Y46&amp;")"</f>
        <v>c4.80 minus (c5.24 + c5.29)</v>
      </c>
      <c r="AL45" s="166" t="str">
        <f>"lower of "&amp;AG40&amp;" and "&amp;AG46</f>
        <v>lower of c5.31 and c5.32</v>
      </c>
      <c r="AO45" s="166"/>
      <c r="AP45" s="167" t="str">
        <f>"("&amp;I46&amp;" + "&amp;Q46&amp;" + "&amp;Y46&amp;" + "&amp;AC46&amp;" + "&amp;AK46&amp;")"</f>
        <v>(c5.24 + c5.25 + c5.29 + c5.30 + c5.33)</v>
      </c>
    </row>
    <row r="46" spans="1:43" ht="12" x14ac:dyDescent="0.25">
      <c r="A46" s="72" t="s">
        <v>397</v>
      </c>
      <c r="C46" s="176" t="s">
        <v>398</v>
      </c>
      <c r="E46" s="177" t="str">
        <f>A22</f>
        <v>c5.22</v>
      </c>
      <c r="F46" s="131">
        <f>'Initial calcs'!D10</f>
        <v>0</v>
      </c>
      <c r="G46" s="168"/>
      <c r="I46" s="177" t="str">
        <f>A24</f>
        <v>c5.24</v>
      </c>
      <c r="J46" s="133">
        <f>MAX(0,MIN(J42,R8-(R17+R24+R36+J36)))</f>
        <v>0</v>
      </c>
      <c r="Q46" s="177" t="str">
        <f>A25</f>
        <v>c5.25</v>
      </c>
      <c r="R46" s="133">
        <f>MAX(0,MIN(MAX(0,F46-J46),R8-(R17+R24+R36+J36+J46)))</f>
        <v>0</v>
      </c>
      <c r="S46" s="120"/>
      <c r="T46" s="120"/>
      <c r="U46" s="177" t="str">
        <f>A28</f>
        <v>c5.28</v>
      </c>
      <c r="V46" s="96">
        <f>MAX(0,MIN(V43,'Stage 4'!M112-J46))</f>
        <v>5000</v>
      </c>
      <c r="Y46" s="177" t="str">
        <f>A29</f>
        <v>c5.29</v>
      </c>
      <c r="Z46" s="96">
        <f>MAX(0,MIN(V46,F46-(J46+R46)))</f>
        <v>0</v>
      </c>
      <c r="AC46" s="177" t="str">
        <f>A30</f>
        <v>c5.30</v>
      </c>
      <c r="AD46" s="96">
        <f>MAX(0,MIN((F46-(J46+R46+Z46)),V40))</f>
        <v>0</v>
      </c>
      <c r="AG46" s="177" t="str">
        <f>A32</f>
        <v>c5.32</v>
      </c>
      <c r="AH46" s="96">
        <f>MAX(0,MIN(F46-(J46+R46+Z46+AD46),'Stage 4'!M112-J46-Z46))</f>
        <v>0</v>
      </c>
      <c r="AK46" s="177" t="str">
        <f>A33</f>
        <v>c5.33</v>
      </c>
      <c r="AL46" s="133">
        <f>MAX(0,MIN(AH40,AH46))</f>
        <v>0</v>
      </c>
      <c r="AO46" s="177" t="str">
        <f>A34</f>
        <v>c5.34</v>
      </c>
      <c r="AP46" s="133">
        <f>MAX(0,F46-(J46+R46+Z46+AD46+AL46))</f>
        <v>0</v>
      </c>
    </row>
    <row r="47" spans="1:43" x14ac:dyDescent="0.2">
      <c r="A47" s="72" t="s">
        <v>399</v>
      </c>
      <c r="B47" s="99"/>
      <c r="C47" s="173"/>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row>
    <row r="48" spans="1:43" ht="12" customHeight="1" x14ac:dyDescent="0.2">
      <c r="A48" s="72" t="s">
        <v>400</v>
      </c>
      <c r="C48" s="119"/>
    </row>
    <row r="49" spans="1:42" ht="17.399999999999999" x14ac:dyDescent="0.3">
      <c r="A49" s="72" t="s">
        <v>401</v>
      </c>
      <c r="B49" s="165" t="s">
        <v>341</v>
      </c>
      <c r="C49" s="119"/>
      <c r="G49" s="168"/>
      <c r="I49" s="166"/>
      <c r="J49" s="175" t="s">
        <v>402</v>
      </c>
      <c r="Q49" s="166"/>
      <c r="R49" s="175" t="s">
        <v>403</v>
      </c>
      <c r="S49" s="174"/>
      <c r="T49" s="174"/>
      <c r="U49" s="174"/>
      <c r="Y49" s="166"/>
      <c r="Z49" s="175" t="s">
        <v>404</v>
      </c>
      <c r="AA49" s="118"/>
      <c r="AB49" s="118"/>
      <c r="AC49" s="118"/>
      <c r="AD49" s="175" t="s">
        <v>405</v>
      </c>
      <c r="AL49" s="175" t="s">
        <v>406</v>
      </c>
    </row>
    <row r="50" spans="1:42" ht="17.399999999999999" x14ac:dyDescent="0.3">
      <c r="A50" s="72" t="s">
        <v>407</v>
      </c>
      <c r="C50" s="165" t="s">
        <v>408</v>
      </c>
      <c r="G50" s="168"/>
    </row>
    <row r="51" spans="1:42" ht="17.399999999999999" x14ac:dyDescent="0.3">
      <c r="A51" s="72" t="s">
        <v>409</v>
      </c>
      <c r="C51" s="165"/>
      <c r="G51" s="168"/>
      <c r="U51" s="166"/>
      <c r="V51" s="166" t="str">
        <f>E8&amp;" minus"</f>
        <v>c5.1 minus</v>
      </c>
    </row>
    <row r="52" spans="1:42" ht="12" x14ac:dyDescent="0.25">
      <c r="A52" s="72" t="s">
        <v>410</v>
      </c>
      <c r="E52" s="166"/>
      <c r="F52" s="171"/>
      <c r="G52" s="168"/>
      <c r="H52" s="181"/>
      <c r="U52" s="166"/>
      <c r="V52" s="167" t="str">
        <f>"("&amp;I75&amp;" + "&amp;I85&amp;" +  "&amp;M75&amp;" + "&amp;Q85&amp;")"</f>
        <v>(c5.47 + c5.48 +  c5.52 + c5.58)</v>
      </c>
    </row>
    <row r="53" spans="1:42" ht="12" x14ac:dyDescent="0.25">
      <c r="A53" s="72" t="s">
        <v>411</v>
      </c>
      <c r="E53" s="166"/>
      <c r="F53" s="166"/>
      <c r="G53" s="168"/>
      <c r="H53" s="181"/>
      <c r="U53" s="172" t="str">
        <f>A59</f>
        <v>c5.59</v>
      </c>
      <c r="V53" s="96">
        <f>MAX(0,F8-(N75+R85+J75+J85))</f>
        <v>11000</v>
      </c>
      <c r="AA53" s="118"/>
      <c r="AB53" s="118"/>
      <c r="AC53" s="118"/>
    </row>
    <row r="54" spans="1:42" ht="12" x14ac:dyDescent="0.25">
      <c r="A54" s="72" t="s">
        <v>412</v>
      </c>
      <c r="E54" s="166"/>
      <c r="F54" s="166"/>
      <c r="G54" s="168"/>
      <c r="H54" s="181"/>
      <c r="M54" s="166"/>
      <c r="N54" s="166" t="s">
        <v>379</v>
      </c>
      <c r="U54" s="83"/>
      <c r="V54" s="167" t="str">
        <f>"lower of ("&amp;Q17&amp;" and "&amp;U53&amp;")"</f>
        <v>lower of (c5.4 and c5.59)</v>
      </c>
      <c r="AA54" s="118"/>
      <c r="AB54" s="118"/>
      <c r="AC54" s="118"/>
    </row>
    <row r="55" spans="1:42" ht="12" x14ac:dyDescent="0.25">
      <c r="A55" s="72" t="s">
        <v>413</v>
      </c>
      <c r="E55" s="166"/>
      <c r="F55" s="166"/>
      <c r="G55" s="168"/>
      <c r="H55" s="181"/>
      <c r="M55" s="166"/>
      <c r="N55" s="167" t="str">
        <f>"(("&amp;E8&amp;" minus "&amp;I75&amp;") and"</f>
        <v>((c5.1 minus c5.47) and</v>
      </c>
      <c r="S55" s="83"/>
      <c r="T55" s="83"/>
      <c r="U55" s="172" t="str">
        <f>A60</f>
        <v>c5.60</v>
      </c>
      <c r="V55" s="96">
        <f>MIN(R17,V53)</f>
        <v>0</v>
      </c>
    </row>
    <row r="56" spans="1:42" x14ac:dyDescent="0.2">
      <c r="A56" s="72" t="s">
        <v>414</v>
      </c>
      <c r="C56" s="188" t="s">
        <v>415</v>
      </c>
      <c r="E56" s="186"/>
      <c r="F56" s="166"/>
      <c r="G56" s="189"/>
      <c r="H56" s="190"/>
      <c r="I56" s="166"/>
      <c r="J56" s="167" t="str">
        <f>"lower of "&amp;E8&amp;" and "&amp;AO17</f>
        <v>lower of c5.1 and c5.6</v>
      </c>
      <c r="M56" s="166"/>
      <c r="N56" s="167" t="str">
        <f>AC17&amp;")"</f>
        <v>c5.5)</v>
      </c>
      <c r="Q56" s="166"/>
      <c r="R56" s="167" t="str">
        <f>E8&amp;" minus"</f>
        <v>c5.1 minus</v>
      </c>
      <c r="S56" s="83"/>
      <c r="T56" s="83"/>
      <c r="V56" s="167" t="str">
        <f>"larger of ("&amp;Q68&amp;" and "&amp;U55&amp;")"</f>
        <v>larger of (c5.56 and c5.60)</v>
      </c>
      <c r="Z56" s="167" t="str">
        <f>"lower of ("&amp;Q17&amp;" and "&amp;U57&amp;")"</f>
        <v>lower of (c5.4 and c5.61)</v>
      </c>
      <c r="AC56" s="191"/>
      <c r="AD56" s="167" t="str">
        <f>I57&amp;" + "&amp;M57&amp;" + "&amp;Y57</f>
        <v>c5.44 + c5.49 + c5.62</v>
      </c>
      <c r="AE56" s="83"/>
      <c r="AF56" s="116"/>
      <c r="AG56" s="116"/>
      <c r="AH56" s="116"/>
      <c r="AI56" s="116"/>
      <c r="AJ56" s="116"/>
      <c r="AL56" s="192" t="str">
        <f>E57&amp;" minus "&amp;AC57</f>
        <v>c5.35 minus c5.67</v>
      </c>
      <c r="AP56" s="188" t="s">
        <v>415</v>
      </c>
    </row>
    <row r="57" spans="1:42" x14ac:dyDescent="0.2">
      <c r="A57" s="72" t="s">
        <v>416</v>
      </c>
      <c r="C57" s="188" t="s">
        <v>417</v>
      </c>
      <c r="E57" s="172" t="str">
        <f>A35</f>
        <v>c5.35</v>
      </c>
      <c r="F57" s="96">
        <f>'Initial calcs'!D2</f>
        <v>0</v>
      </c>
      <c r="G57" s="189"/>
      <c r="H57" s="190"/>
      <c r="I57" s="172" t="str">
        <f>A44</f>
        <v>c5.44</v>
      </c>
      <c r="J57" s="96">
        <f>MIN(F8,AP17)</f>
        <v>0</v>
      </c>
      <c r="M57" s="172" t="str">
        <f>A49</f>
        <v>c5.49</v>
      </c>
      <c r="N57" s="96">
        <f>MAX(0,MIN(F8-J75,AD17))</f>
        <v>0</v>
      </c>
      <c r="Q57" s="166"/>
      <c r="R57" s="166" t="str">
        <f>"("&amp;I75&amp;" + "&amp;I85&amp;" + "&amp;M75&amp;")"</f>
        <v>(c5.47 + c5.48 + c5.52)</v>
      </c>
      <c r="S57" s="155"/>
      <c r="T57" s="155"/>
      <c r="U57" s="172" t="str">
        <f>A61</f>
        <v>c5.61</v>
      </c>
      <c r="V57" s="96">
        <f>MAX(R68,V55)</f>
        <v>0</v>
      </c>
      <c r="Y57" s="172" t="str">
        <f>A62</f>
        <v>c5.62</v>
      </c>
      <c r="Z57" s="96">
        <f>MIN(R17,V57)</f>
        <v>0</v>
      </c>
      <c r="AC57" s="172" t="str">
        <f>A67</f>
        <v>c5.67</v>
      </c>
      <c r="AD57" s="96">
        <f>J57+N57+Z57</f>
        <v>0</v>
      </c>
      <c r="AE57" s="120"/>
      <c r="AK57" s="172" t="str">
        <f>A76</f>
        <v>c5.76</v>
      </c>
      <c r="AL57" s="96">
        <f>MAX(0,F57-AD57)</f>
        <v>0</v>
      </c>
      <c r="AP57" s="188" t="s">
        <v>417</v>
      </c>
    </row>
    <row r="58" spans="1:42" ht="13.2" x14ac:dyDescent="0.25">
      <c r="A58" s="72" t="s">
        <v>418</v>
      </c>
      <c r="G58" s="189"/>
      <c r="H58" s="190"/>
      <c r="P58" s="193" t="s">
        <v>419</v>
      </c>
      <c r="Q58" s="172" t="str">
        <f>A53</f>
        <v>c5.53</v>
      </c>
      <c r="R58" s="96">
        <f>MAX(0,F8-(J75+J85+N75))</f>
        <v>11000</v>
      </c>
      <c r="Z58" s="194"/>
      <c r="AL58" s="195" t="str">
        <f>"add to "&amp;AK113&amp;" and"</f>
        <v>add to c5.83 and</v>
      </c>
      <c r="AP58" s="125"/>
    </row>
    <row r="59" spans="1:42" ht="13.2" x14ac:dyDescent="0.25">
      <c r="A59" s="72" t="s">
        <v>420</v>
      </c>
      <c r="G59" s="189"/>
      <c r="H59" s="190"/>
      <c r="P59" s="193"/>
      <c r="Q59" s="166"/>
      <c r="R59" s="167" t="str">
        <f>Q58&amp;" minus "&amp;AC46</f>
        <v>c5.53 minus c5.30</v>
      </c>
      <c r="AL59" s="196" t="str">
        <f>"copy to "&amp;'[1]tax it (c6)'!F18</f>
        <v>copy to c6.1</v>
      </c>
      <c r="AP59" s="125"/>
    </row>
    <row r="60" spans="1:42" ht="13.2" x14ac:dyDescent="0.25">
      <c r="A60" s="72" t="s">
        <v>421</v>
      </c>
      <c r="G60" s="189"/>
      <c r="H60" s="190"/>
      <c r="P60" s="193" t="s">
        <v>422</v>
      </c>
      <c r="Q60" s="172" t="str">
        <f>A54</f>
        <v>c5.54</v>
      </c>
      <c r="R60" s="96">
        <f>MAX(0,R58-AD46)</f>
        <v>11000</v>
      </c>
      <c r="X60" s="166"/>
      <c r="Y60" s="166"/>
      <c r="Z60" s="166" t="s">
        <v>379</v>
      </c>
      <c r="AP60" s="125"/>
    </row>
    <row r="61" spans="1:42" x14ac:dyDescent="0.2">
      <c r="A61" s="72" t="s">
        <v>423</v>
      </c>
      <c r="C61" s="72"/>
      <c r="G61" s="189"/>
      <c r="H61" s="190"/>
      <c r="M61" s="166"/>
      <c r="N61" s="166" t="s">
        <v>379</v>
      </c>
      <c r="Q61" s="166"/>
      <c r="R61" s="167" t="str">
        <f>"2 x ("&amp;Y46&amp;" minus ("&amp;Y36&amp;" + "&amp;Q60&amp;"))"</f>
        <v>2 x (c5.29 minus (c5.19 + c5.54))</v>
      </c>
      <c r="X61" s="166"/>
      <c r="Y61" s="166"/>
      <c r="Z61" s="167" t="str">
        <f>"("&amp;E8&amp;" minus"</f>
        <v>(c5.1 minus</v>
      </c>
      <c r="AC61" s="100"/>
      <c r="AD61" s="100"/>
      <c r="AE61" s="100"/>
      <c r="AF61" s="100"/>
      <c r="AG61" s="100"/>
      <c r="AH61" s="100"/>
      <c r="AI61" s="100"/>
      <c r="AJ61" s="100"/>
      <c r="AK61" s="100"/>
      <c r="AL61" s="100"/>
      <c r="AM61" s="100"/>
    </row>
    <row r="62" spans="1:42" x14ac:dyDescent="0.2">
      <c r="A62" s="72" t="s">
        <v>424</v>
      </c>
      <c r="C62" s="72"/>
      <c r="G62" s="189"/>
      <c r="H62" s="190"/>
      <c r="M62" s="166"/>
      <c r="N62" s="167" t="str">
        <f>"("&amp;E8&amp;" minus ("&amp;I75&amp;" + "&amp;M57&amp;") and"</f>
        <v>(c5.1 minus (c5.47 + c5.49) and</v>
      </c>
      <c r="Q62" s="172" t="str">
        <f>A55</f>
        <v>c5.55</v>
      </c>
      <c r="R62" s="96">
        <f>MAX(0,2*(Z46-(Z36+R60)))</f>
        <v>0</v>
      </c>
      <c r="S62" s="83"/>
      <c r="T62" s="83"/>
      <c r="U62" s="83"/>
      <c r="V62" s="83"/>
      <c r="X62" s="166"/>
      <c r="Y62" s="166"/>
      <c r="Z62" s="167" t="str">
        <f>"("&amp;I75&amp;" + "&amp;I85&amp;" + "&amp;M75&amp;" + "&amp;Q85&amp;" + "&amp;Y57&amp;") and"</f>
        <v>(c5.47 + c5.48 + c5.52 + c5.58 + c5.62) and</v>
      </c>
      <c r="AC62" s="100"/>
      <c r="AD62" s="100"/>
      <c r="AE62" s="100"/>
      <c r="AF62" s="100"/>
      <c r="AG62" s="100"/>
      <c r="AH62" s="100"/>
      <c r="AI62" s="100"/>
      <c r="AJ62" s="100"/>
      <c r="AK62" s="100"/>
      <c r="AL62" s="100"/>
      <c r="AM62" s="100"/>
    </row>
    <row r="63" spans="1:42" x14ac:dyDescent="0.2">
      <c r="A63" s="72" t="s">
        <v>425</v>
      </c>
      <c r="C63" s="188" t="s">
        <v>426</v>
      </c>
      <c r="F63" s="167"/>
      <c r="G63" s="189"/>
      <c r="H63" s="190"/>
      <c r="I63" s="166"/>
      <c r="J63" s="167" t="str">
        <f>"lower of ("&amp;E8&amp;" minus "&amp;I57&amp;") and "&amp;AO24</f>
        <v>lower of (c5.1 minus c5.44) and c5.10</v>
      </c>
      <c r="M63" s="166"/>
      <c r="N63" s="167" t="str">
        <f>AC24&amp;")"</f>
        <v>c5.9)</v>
      </c>
      <c r="Q63" s="166"/>
      <c r="R63" s="167" t="str">
        <f>"if "&amp;Q58&amp;" larger than "&amp;Q62&amp;" and"</f>
        <v>if c5.53 larger than c5.55 and</v>
      </c>
      <c r="S63" s="83"/>
      <c r="T63" s="83"/>
      <c r="U63" s="83"/>
      <c r="V63" s="83"/>
      <c r="X63" s="166"/>
      <c r="Y63" s="166"/>
      <c r="Z63" s="167" t="str">
        <f>Q24&amp;")"</f>
        <v>c5.8)</v>
      </c>
      <c r="AC63" s="191"/>
      <c r="AD63" s="167" t="str">
        <f>I64&amp;" + "&amp;M64&amp;" + "&amp;Y64</f>
        <v>c5.45 + c5.50 + c5.63</v>
      </c>
      <c r="AE63" s="197"/>
      <c r="AL63" s="198" t="str">
        <f>E64&amp;" minus "&amp;AC64</f>
        <v>c5.36 minus c5.68</v>
      </c>
      <c r="AP63" s="188" t="s">
        <v>426</v>
      </c>
    </row>
    <row r="64" spans="1:42" x14ac:dyDescent="0.2">
      <c r="A64" s="72" t="s">
        <v>427</v>
      </c>
      <c r="C64" s="188" t="s">
        <v>428</v>
      </c>
      <c r="E64" s="177" t="str">
        <f>A36</f>
        <v>c5.36</v>
      </c>
      <c r="F64" s="178">
        <f>'Initial calcs'!D3</f>
        <v>0</v>
      </c>
      <c r="G64" s="189"/>
      <c r="H64" s="190"/>
      <c r="I64" s="172" t="str">
        <f>A45</f>
        <v>c5.45</v>
      </c>
      <c r="J64" s="96">
        <f>MAX(0,MIN(F8-J57,AP24))</f>
        <v>0</v>
      </c>
      <c r="M64" s="172" t="str">
        <f>A50</f>
        <v>c5.50</v>
      </c>
      <c r="N64" s="96">
        <f>MAX(0,MIN(F8-(J75+N57),AD24))</f>
        <v>0</v>
      </c>
      <c r="Q64" s="166"/>
      <c r="R64" s="167" t="str">
        <f>AC46&amp;" larger than "&amp;Q62</f>
        <v>c5.30 larger than c5.55</v>
      </c>
      <c r="S64" s="155"/>
      <c r="T64" s="155"/>
      <c r="U64" s="155"/>
      <c r="V64" s="155"/>
      <c r="Y64" s="172" t="str">
        <f>A63</f>
        <v>c5.63</v>
      </c>
      <c r="Z64" s="96">
        <f>MAX(0,MIN(F8-N75-J75-J85-R85-Z57,R24))</f>
        <v>0</v>
      </c>
      <c r="AC64" s="177" t="str">
        <f>A68</f>
        <v>c5.68</v>
      </c>
      <c r="AD64" s="133">
        <f>J64+N64+Z64</f>
        <v>0</v>
      </c>
      <c r="AE64" s="120"/>
      <c r="AK64" s="177" t="str">
        <f>A77</f>
        <v>c5.77</v>
      </c>
      <c r="AL64" s="133">
        <f>MAX(0,F64-AD64)</f>
        <v>0</v>
      </c>
      <c r="AP64" s="188" t="s">
        <v>428</v>
      </c>
    </row>
    <row r="65" spans="1:42" x14ac:dyDescent="0.2">
      <c r="A65" s="72" t="s">
        <v>429</v>
      </c>
      <c r="G65" s="189"/>
      <c r="H65" s="190"/>
      <c r="Q65" s="166"/>
      <c r="R65" s="167" t="str">
        <f>Q68&amp;" = "&amp;Q58</f>
        <v>c5.56 = c5.53</v>
      </c>
      <c r="Z65" s="194"/>
      <c r="AL65" s="195" t="str">
        <f>"add to "&amp;AK118&amp;" and"</f>
        <v>add to c5.84 and</v>
      </c>
      <c r="AP65" s="125"/>
    </row>
    <row r="66" spans="1:42" x14ac:dyDescent="0.2">
      <c r="A66" s="72" t="s">
        <v>430</v>
      </c>
      <c r="G66" s="189"/>
      <c r="H66" s="190"/>
      <c r="Q66" s="166"/>
      <c r="R66" s="167" t="s">
        <v>199</v>
      </c>
      <c r="AL66" s="196" t="str">
        <f>"copy to "&amp;'[1]tax it (c6)'!R18</f>
        <v>copy to c6.35</v>
      </c>
      <c r="AP66" s="125"/>
    </row>
    <row r="67" spans="1:42" x14ac:dyDescent="0.2">
      <c r="A67" s="72" t="s">
        <v>431</v>
      </c>
      <c r="E67" s="166"/>
      <c r="F67" s="171"/>
      <c r="G67" s="189"/>
      <c r="H67" s="190"/>
      <c r="Q67" s="166"/>
      <c r="R67" s="167" t="str">
        <f>Q68&amp;" = 0 (zero)"</f>
        <v>c5.56 = 0 (zero)</v>
      </c>
      <c r="AL67" s="83"/>
      <c r="AP67" s="125"/>
    </row>
    <row r="68" spans="1:42" ht="13.2" x14ac:dyDescent="0.25">
      <c r="A68" s="72" t="s">
        <v>432</v>
      </c>
      <c r="E68" s="166"/>
      <c r="F68" s="166"/>
      <c r="G68" s="189"/>
      <c r="H68" s="190"/>
      <c r="P68" s="193" t="s">
        <v>433</v>
      </c>
      <c r="Q68" s="172" t="str">
        <f>A56</f>
        <v>c5.56</v>
      </c>
      <c r="R68" s="96">
        <f>IF(R58&gt;R62,IF(AD46&gt;R62,R58,0),0)</f>
        <v>0</v>
      </c>
      <c r="X68" s="166"/>
      <c r="Y68" s="166"/>
      <c r="Z68" s="166" t="s">
        <v>379</v>
      </c>
      <c r="AP68" s="125"/>
    </row>
    <row r="69" spans="1:42" x14ac:dyDescent="0.2">
      <c r="A69" s="72" t="s">
        <v>434</v>
      </c>
      <c r="C69" s="72"/>
      <c r="E69" s="166"/>
      <c r="F69" s="166"/>
      <c r="G69" s="189"/>
      <c r="H69" s="190"/>
      <c r="I69" s="166"/>
      <c r="J69" s="166" t="s">
        <v>379</v>
      </c>
      <c r="M69" s="166"/>
      <c r="N69" s="166" t="s">
        <v>379</v>
      </c>
      <c r="S69" s="83"/>
      <c r="T69" s="83"/>
      <c r="U69" s="83"/>
      <c r="V69" s="83"/>
      <c r="X69" s="166"/>
      <c r="Y69" s="166"/>
      <c r="Z69" s="167" t="str">
        <f>"("&amp;E8&amp;" minus"</f>
        <v>(c5.1 minus</v>
      </c>
      <c r="AC69" s="100"/>
      <c r="AD69" s="100"/>
      <c r="AE69" s="100"/>
      <c r="AF69" s="100"/>
      <c r="AG69" s="100"/>
      <c r="AH69" s="100"/>
      <c r="AI69" s="100"/>
      <c r="AJ69" s="100"/>
      <c r="AK69" s="100"/>
      <c r="AL69" s="100"/>
      <c r="AM69" s="100"/>
    </row>
    <row r="70" spans="1:42" x14ac:dyDescent="0.2">
      <c r="A70" s="72" t="s">
        <v>435</v>
      </c>
      <c r="C70" s="72"/>
      <c r="E70" s="166"/>
      <c r="F70" s="166"/>
      <c r="G70" s="189"/>
      <c r="H70" s="190"/>
      <c r="I70" s="166"/>
      <c r="J70" s="167" t="str">
        <f>"("&amp;E8&amp;" minus ("&amp;I57&amp;" + "&amp;I64&amp;") and"</f>
        <v>(c5.1 minus (c5.44 + c5.45) and</v>
      </c>
      <c r="M70" s="166"/>
      <c r="N70" s="167" t="str">
        <f>"("&amp;E8&amp;" minus ("&amp;I75&amp;" + "&amp;M57&amp;" + "&amp;M64&amp;") and"</f>
        <v>(c5.1 minus (c5.47 + c5.49 + c5.50) and</v>
      </c>
      <c r="S70" s="83"/>
      <c r="T70" s="83"/>
      <c r="U70" s="83"/>
      <c r="V70" s="83"/>
      <c r="X70" s="166"/>
      <c r="Y70" s="166"/>
      <c r="Z70" s="167" t="str">
        <f>"("&amp;I75&amp;" + "&amp;I85&amp;" + "&amp;M75&amp;" + "&amp;Q85&amp;" + "&amp;Y57&amp;" + "&amp;Y64&amp;") and"</f>
        <v>(c5.47 + c5.48 + c5.52 + c5.58 + c5.62 + c5.63) and</v>
      </c>
      <c r="AC70" s="100"/>
      <c r="AD70" s="100"/>
      <c r="AE70" s="100"/>
      <c r="AF70" s="100"/>
      <c r="AG70" s="100"/>
      <c r="AH70" s="100"/>
      <c r="AI70" s="100"/>
      <c r="AJ70" s="100"/>
      <c r="AK70" s="100"/>
      <c r="AL70" s="100"/>
      <c r="AM70" s="100"/>
    </row>
    <row r="71" spans="1:42" x14ac:dyDescent="0.2">
      <c r="A71" s="72" t="s">
        <v>436</v>
      </c>
      <c r="C71" s="188" t="s">
        <v>437</v>
      </c>
      <c r="E71" s="166"/>
      <c r="F71" s="166"/>
      <c r="G71" s="189"/>
      <c r="H71" s="190"/>
      <c r="I71" s="166"/>
      <c r="J71" s="167" t="str">
        <f>AO36</f>
        <v>c5.21</v>
      </c>
      <c r="M71" s="166"/>
      <c r="N71" s="167" t="str">
        <f>AC36&amp;")"</f>
        <v>c5.20)</v>
      </c>
      <c r="S71" s="83"/>
      <c r="T71" s="83"/>
      <c r="U71" s="83"/>
      <c r="V71" s="83"/>
      <c r="X71" s="166"/>
      <c r="Y71" s="166"/>
      <c r="Z71" s="167" t="str">
        <f>Q36&amp;")"</f>
        <v>c5.16)</v>
      </c>
      <c r="AD71" s="167" t="str">
        <f>I72&amp;" + "&amp;M72&amp;" + "&amp;Y72</f>
        <v>c5.46 + c5.51 + c5.64</v>
      </c>
      <c r="AE71" s="114"/>
      <c r="AL71" s="198" t="str">
        <f>E72&amp;" minus "&amp;AC72</f>
        <v>c5.37 minus c5.69</v>
      </c>
      <c r="AP71" s="188" t="s">
        <v>437</v>
      </c>
    </row>
    <row r="72" spans="1:42" x14ac:dyDescent="0.2">
      <c r="A72" s="72" t="s">
        <v>438</v>
      </c>
      <c r="C72" s="188" t="s">
        <v>417</v>
      </c>
      <c r="E72" s="177" t="str">
        <f>A37</f>
        <v>c5.37</v>
      </c>
      <c r="F72" s="131">
        <f>'Initial calcs'!D6</f>
        <v>0</v>
      </c>
      <c r="G72" s="189"/>
      <c r="H72" s="190"/>
      <c r="I72" s="172" t="str">
        <f>A46</f>
        <v>c5.46</v>
      </c>
      <c r="J72" s="96">
        <f>MAX(0,MIN(F8-(J57+J64),AP36))</f>
        <v>0</v>
      </c>
      <c r="M72" s="172" t="str">
        <f>A51</f>
        <v>c5.51</v>
      </c>
      <c r="N72" s="96">
        <f>MAX(0,MIN(F8-(J75+N57+N64),AD36))</f>
        <v>0</v>
      </c>
      <c r="S72" s="155"/>
      <c r="T72" s="155"/>
      <c r="U72" s="155"/>
      <c r="V72" s="155"/>
      <c r="Y72" s="172" t="str">
        <f>A64</f>
        <v>c5.64</v>
      </c>
      <c r="Z72" s="96">
        <f>MAX(0,MIN(F8-N75-J75-J85-R85-Z57-Z64,R36))</f>
        <v>0</v>
      </c>
      <c r="AC72" s="177" t="str">
        <f>A69</f>
        <v>c5.69</v>
      </c>
      <c r="AD72" s="133">
        <f>J72+N72+Z72</f>
        <v>0</v>
      </c>
      <c r="AE72" s="120"/>
      <c r="AF72" s="75"/>
      <c r="AG72" s="75"/>
      <c r="AH72" s="75"/>
      <c r="AI72" s="75"/>
      <c r="AJ72" s="75"/>
      <c r="AK72" s="177" t="str">
        <f>A78</f>
        <v>c5.78</v>
      </c>
      <c r="AL72" s="133">
        <f>MAX(0,F72-AD72)</f>
        <v>0</v>
      </c>
      <c r="AP72" s="188" t="s">
        <v>417</v>
      </c>
    </row>
    <row r="73" spans="1:42" x14ac:dyDescent="0.2">
      <c r="A73" s="72" t="s">
        <v>439</v>
      </c>
      <c r="D73" s="100"/>
      <c r="G73" s="189"/>
      <c r="H73" s="190"/>
      <c r="AF73" s="100"/>
      <c r="AG73" s="100"/>
      <c r="AH73" s="100"/>
      <c r="AI73" s="100"/>
      <c r="AJ73" s="100"/>
      <c r="AL73" s="199" t="str">
        <f>"copy to "&amp;'[1]tax it (c6)'!J18</f>
        <v>copy to c6.11</v>
      </c>
      <c r="AP73" s="125"/>
    </row>
    <row r="74" spans="1:42" x14ac:dyDescent="0.2">
      <c r="A74" s="72" t="s">
        <v>440</v>
      </c>
      <c r="D74" s="100"/>
      <c r="G74" s="189"/>
      <c r="H74" s="190"/>
      <c r="J74" s="167" t="str">
        <f>I57&amp;" + "&amp;I64&amp;" + "&amp;I72</f>
        <v>c5.44 + c5.45 + c5.46</v>
      </c>
      <c r="N74" s="167" t="str">
        <f>M57&amp;" + "&amp;M64&amp;" + "&amp;M72</f>
        <v>c5.49 + c5.50 + c5.51</v>
      </c>
      <c r="S74" s="83"/>
      <c r="T74" s="83"/>
      <c r="U74" s="83"/>
      <c r="V74" s="83"/>
      <c r="Z74" s="167" t="str">
        <f>Y57&amp;" + "&amp;Y64&amp;" + "&amp;Y72</f>
        <v>c5.62 + c5.63 + c5.64</v>
      </c>
      <c r="AF74" s="100"/>
      <c r="AG74" s="100"/>
      <c r="AH74" s="100"/>
      <c r="AI74" s="100"/>
      <c r="AJ74" s="100"/>
      <c r="AL74" s="200"/>
      <c r="AP74" s="125"/>
    </row>
    <row r="75" spans="1:42" x14ac:dyDescent="0.2">
      <c r="A75" s="72" t="s">
        <v>441</v>
      </c>
      <c r="D75" s="100"/>
      <c r="G75" s="189"/>
      <c r="H75" s="190"/>
      <c r="I75" s="172" t="str">
        <f>A47</f>
        <v>c5.47</v>
      </c>
      <c r="J75" s="96">
        <f>J57+J64+J72</f>
        <v>0</v>
      </c>
      <c r="M75" s="172" t="str">
        <f>A52</f>
        <v>c5.52</v>
      </c>
      <c r="N75" s="96">
        <f>N57+N64+N72</f>
        <v>0</v>
      </c>
      <c r="S75" s="155"/>
      <c r="T75" s="155"/>
      <c r="U75" s="155"/>
      <c r="V75" s="155"/>
      <c r="Y75" s="172" t="str">
        <f>A65</f>
        <v>c5.65</v>
      </c>
      <c r="Z75" s="96">
        <f>Z57+Z64+Z72</f>
        <v>0</v>
      </c>
      <c r="AF75" s="100"/>
      <c r="AG75" s="100"/>
      <c r="AH75" s="100"/>
      <c r="AI75" s="100"/>
      <c r="AJ75" s="100"/>
      <c r="AL75" s="200"/>
      <c r="AP75" s="125"/>
    </row>
    <row r="76" spans="1:42" ht="13.2" x14ac:dyDescent="0.25">
      <c r="A76" s="72" t="s">
        <v>442</v>
      </c>
      <c r="C76" s="72"/>
      <c r="G76" s="189"/>
      <c r="H76" s="190"/>
      <c r="P76" s="193"/>
      <c r="S76" s="155"/>
      <c r="T76" s="155"/>
      <c r="U76" s="155"/>
      <c r="V76" s="155"/>
      <c r="X76" s="201"/>
      <c r="AC76" s="100"/>
      <c r="AD76" s="100"/>
      <c r="AE76" s="100"/>
      <c r="AF76" s="100"/>
      <c r="AG76" s="100"/>
      <c r="AH76" s="100"/>
      <c r="AI76" s="100"/>
      <c r="AJ76" s="100"/>
      <c r="AK76" s="100"/>
      <c r="AL76" s="100"/>
    </row>
    <row r="77" spans="1:42" ht="13.2" x14ac:dyDescent="0.25">
      <c r="A77" s="72" t="s">
        <v>443</v>
      </c>
      <c r="C77" s="72"/>
      <c r="G77" s="189"/>
      <c r="H77" s="190"/>
      <c r="O77" s="193"/>
      <c r="P77" s="166"/>
      <c r="Q77" s="166"/>
      <c r="R77" s="167" t="str">
        <f>"lower of ("&amp;Q68&amp;" and ("&amp;Q8&amp;" + "&amp;Q17&amp;" + "&amp;Q24&amp;")) minus"</f>
        <v>lower of (c5.56 and (c5.2 + c5.4 + c5.8)) minus</v>
      </c>
      <c r="X77" s="201"/>
      <c r="AC77" s="100"/>
      <c r="AD77" s="100"/>
      <c r="AE77" s="100"/>
      <c r="AF77" s="100"/>
      <c r="AG77" s="100"/>
      <c r="AH77" s="100"/>
      <c r="AI77" s="100"/>
      <c r="AJ77" s="100"/>
      <c r="AK77" s="100"/>
      <c r="AL77" s="100"/>
    </row>
    <row r="78" spans="1:42" ht="13.2" x14ac:dyDescent="0.25">
      <c r="A78" s="72" t="s">
        <v>444</v>
      </c>
      <c r="C78" s="72"/>
      <c r="G78" s="189"/>
      <c r="H78" s="190"/>
      <c r="M78" s="193"/>
      <c r="N78" s="193"/>
      <c r="O78" s="193"/>
      <c r="P78" s="166"/>
      <c r="Q78" s="166"/>
      <c r="R78" s="167" t="str">
        <f>"("&amp;I75&amp;" + "&amp;I85&amp;")"</f>
        <v>(c5.47 + c5.48)</v>
      </c>
      <c r="X78" s="201"/>
      <c r="AC78" s="100"/>
      <c r="AD78" s="100"/>
      <c r="AE78" s="100"/>
      <c r="AF78" s="100"/>
      <c r="AG78" s="100"/>
      <c r="AH78" s="100"/>
      <c r="AI78" s="100"/>
      <c r="AJ78" s="100"/>
      <c r="AK78" s="100"/>
      <c r="AL78" s="100"/>
    </row>
    <row r="79" spans="1:42" ht="13.2" x14ac:dyDescent="0.25">
      <c r="A79" s="72" t="s">
        <v>445</v>
      </c>
      <c r="C79" s="72"/>
      <c r="G79" s="189"/>
      <c r="H79" s="190"/>
      <c r="M79" s="193"/>
      <c r="N79" s="193"/>
      <c r="O79" s="193"/>
      <c r="Q79" s="172" t="str">
        <f>A57</f>
        <v>c5.57</v>
      </c>
      <c r="R79" s="96">
        <f>MAX(0,MIN(R68,R17+R24+R36)-(J75+J85))</f>
        <v>0</v>
      </c>
      <c r="X79" s="201"/>
      <c r="AC79" s="100"/>
      <c r="AD79" s="100"/>
      <c r="AE79" s="100"/>
      <c r="AF79" s="100"/>
      <c r="AG79" s="100"/>
      <c r="AH79" s="100"/>
      <c r="AI79" s="100"/>
      <c r="AJ79" s="100"/>
      <c r="AK79" s="100"/>
      <c r="AL79" s="100"/>
    </row>
    <row r="80" spans="1:42" ht="12" x14ac:dyDescent="0.25">
      <c r="A80" s="72" t="s">
        <v>446</v>
      </c>
      <c r="C80" s="72"/>
      <c r="E80" s="94"/>
      <c r="F80" s="94"/>
      <c r="G80" s="189"/>
      <c r="H80" s="190"/>
      <c r="S80" s="83"/>
      <c r="T80" s="83"/>
      <c r="U80" s="83"/>
      <c r="V80" s="83"/>
      <c r="X80" s="201"/>
    </row>
    <row r="81" spans="1:42" x14ac:dyDescent="0.2">
      <c r="A81" s="72" t="s">
        <v>447</v>
      </c>
      <c r="C81" s="72"/>
      <c r="F81" s="185"/>
      <c r="G81" s="189"/>
      <c r="H81" s="190"/>
      <c r="I81" s="166"/>
      <c r="J81" s="166"/>
      <c r="S81" s="116"/>
      <c r="T81" s="116"/>
      <c r="U81" s="116"/>
      <c r="V81" s="116"/>
      <c r="X81" s="166"/>
      <c r="Y81" s="166"/>
      <c r="Z81" s="166" t="s">
        <v>379</v>
      </c>
    </row>
    <row r="82" spans="1:42" x14ac:dyDescent="0.2">
      <c r="A82" s="72" t="s">
        <v>448</v>
      </c>
      <c r="C82" s="72"/>
      <c r="G82" s="189"/>
      <c r="H82" s="190"/>
      <c r="I82" s="166"/>
      <c r="J82" s="167"/>
      <c r="Q82" s="166"/>
      <c r="R82" s="166" t="s">
        <v>379</v>
      </c>
      <c r="S82" s="83"/>
      <c r="T82" s="83"/>
      <c r="U82" s="83"/>
      <c r="V82" s="83"/>
      <c r="X82" s="166"/>
      <c r="Y82" s="166"/>
      <c r="Z82" s="167" t="str">
        <f>"("&amp;E8&amp;" minus"</f>
        <v>(c5.1 minus</v>
      </c>
      <c r="AC82" s="166"/>
      <c r="AD82" s="186" t="s">
        <v>243</v>
      </c>
      <c r="AE82" s="83"/>
    </row>
    <row r="83" spans="1:42" x14ac:dyDescent="0.2">
      <c r="A83" s="72" t="s">
        <v>449</v>
      </c>
      <c r="F83" s="166"/>
      <c r="G83" s="189"/>
      <c r="H83" s="190"/>
      <c r="I83" s="166"/>
      <c r="J83" s="166"/>
      <c r="Q83" s="166"/>
      <c r="R83" s="167" t="str">
        <f>"("&amp;E8&amp;" minus ("&amp;M75&amp;" + "&amp;Q79&amp;") and"</f>
        <v>(c5.1 minus (c5.52 + c5.57) and</v>
      </c>
      <c r="S83" s="83"/>
      <c r="T83" s="83"/>
      <c r="U83" s="83"/>
      <c r="V83" s="83"/>
      <c r="X83" s="166"/>
      <c r="Y83" s="166"/>
      <c r="Z83" s="167" t="str">
        <f>"("&amp;I75&amp;" + "&amp;M75&amp;" + "&amp;I85&amp;" + "&amp;Q85&amp;" + "&amp;Y75&amp;") and"</f>
        <v>(c5.47 + c5.52 + c5.48 + c5.58 + c5.65) and</v>
      </c>
      <c r="AC83" s="166"/>
      <c r="AD83" s="167" t="str">
        <f>"("&amp;E8&amp;" minus ("&amp;AC57&amp;" + "&amp;AC64&amp;" + "&amp;AC72&amp;") and"</f>
        <v>(c5.1 minus (c5.67 + c5.68 + c5.69) and</v>
      </c>
      <c r="AE83" s="83"/>
    </row>
    <row r="84" spans="1:42" x14ac:dyDescent="0.2">
      <c r="A84" s="72" t="s">
        <v>450</v>
      </c>
      <c r="G84" s="189"/>
      <c r="H84" s="190"/>
      <c r="I84" s="166"/>
      <c r="J84" s="167"/>
      <c r="Q84" s="166"/>
      <c r="R84" s="167" t="str">
        <f>AC46&amp;")"</f>
        <v>c5.30)</v>
      </c>
      <c r="S84" s="83"/>
      <c r="T84" s="83"/>
      <c r="U84" s="83"/>
      <c r="V84" s="83"/>
      <c r="X84" s="166"/>
      <c r="Y84" s="166"/>
      <c r="Z84" s="167" t="str">
        <f>Q46&amp;")"</f>
        <v>c5.25)</v>
      </c>
      <c r="AC84" s="166"/>
      <c r="AD84" s="167" t="str">
        <f>I85&amp;" + "&amp;Q85&amp;" + "&amp;Y85&amp;")"</f>
        <v>c5.48 + c5.58 + c5.66)</v>
      </c>
      <c r="AE84" s="197"/>
      <c r="AL84" s="198" t="str">
        <f>E85&amp;" minus "&amp;AC85</f>
        <v>c5.38 minus c5.70</v>
      </c>
    </row>
    <row r="85" spans="1:42" x14ac:dyDescent="0.2">
      <c r="A85" s="72" t="s">
        <v>451</v>
      </c>
      <c r="C85" s="188" t="s">
        <v>452</v>
      </c>
      <c r="E85" s="177" t="str">
        <f>A38</f>
        <v>c5.38</v>
      </c>
      <c r="F85" s="131">
        <v>0</v>
      </c>
      <c r="G85" s="189"/>
      <c r="H85" s="190"/>
      <c r="I85" s="172" t="str">
        <f>A48</f>
        <v>c5.48</v>
      </c>
      <c r="J85" s="96">
        <f>MAX(0,MIN(F8-(AP17+AP24+AP36)-(AD17+AD24+AD36),AP46))</f>
        <v>0</v>
      </c>
      <c r="Q85" s="172" t="str">
        <f>A58</f>
        <v>c5.58</v>
      </c>
      <c r="R85" s="96">
        <f>MAX(0,MIN(F8-(N75+R79),AD46))</f>
        <v>0</v>
      </c>
      <c r="S85" s="155"/>
      <c r="T85" s="155"/>
      <c r="U85" s="155"/>
      <c r="V85" s="155"/>
      <c r="Y85" s="172" t="str">
        <f>A66</f>
        <v>c5.66</v>
      </c>
      <c r="Z85" s="96">
        <f>MAX(0,MIN(F8-(N57+N64+N72)-(J57+J64+J72)-J85-R85-Z57-Z64-Z72,R46))</f>
        <v>0</v>
      </c>
      <c r="AC85" s="177" t="str">
        <f>A70</f>
        <v>c5.70</v>
      </c>
      <c r="AD85" s="133">
        <f>MAX(0,F8-(AD57+AD64+AD72),J85+R85+Z85)</f>
        <v>11000</v>
      </c>
      <c r="AE85" s="120"/>
      <c r="AK85" s="177" t="str">
        <f>A79</f>
        <v>c5.79</v>
      </c>
      <c r="AL85" s="133">
        <f>MAX(0,F85-AD85)</f>
        <v>0</v>
      </c>
      <c r="AP85" s="188" t="s">
        <v>452</v>
      </c>
    </row>
    <row r="86" spans="1:42" x14ac:dyDescent="0.2">
      <c r="A86" s="72" t="s">
        <v>453</v>
      </c>
      <c r="G86" s="189"/>
      <c r="H86" s="190"/>
      <c r="J86" s="83"/>
      <c r="Z86" s="194"/>
      <c r="AK86" s="116"/>
      <c r="AL86" s="195" t="str">
        <f>"add "&amp;AK85&amp;" + "&amp;AK93&amp;" + "&amp;AK102</f>
        <v>add c5.79 + c5.80 + c5.81</v>
      </c>
      <c r="AP86" s="125"/>
    </row>
    <row r="87" spans="1:42" x14ac:dyDescent="0.2">
      <c r="A87" s="72" t="s">
        <v>454</v>
      </c>
      <c r="G87" s="189"/>
      <c r="H87" s="190"/>
      <c r="AF87" s="75"/>
      <c r="AG87" s="75"/>
      <c r="AH87" s="75"/>
      <c r="AI87" s="75"/>
      <c r="AJ87" s="75"/>
      <c r="AK87" s="116"/>
      <c r="AL87" s="196" t="str">
        <f>"and copy to "&amp;'[1]tax it (c6)'!N18</f>
        <v>and copy to c6.23</v>
      </c>
      <c r="AP87" s="125"/>
    </row>
    <row r="88" spans="1:42" x14ac:dyDescent="0.2">
      <c r="A88" s="72" t="s">
        <v>455</v>
      </c>
      <c r="C88" s="72"/>
      <c r="E88" s="94"/>
      <c r="F88" s="94"/>
      <c r="G88" s="189"/>
      <c r="H88" s="190"/>
    </row>
    <row r="89" spans="1:42" x14ac:dyDescent="0.2">
      <c r="C89" s="72"/>
      <c r="F89" s="171"/>
      <c r="G89" s="189"/>
      <c r="H89" s="190"/>
    </row>
    <row r="90" spans="1:42" x14ac:dyDescent="0.2">
      <c r="G90" s="189"/>
      <c r="H90" s="190"/>
      <c r="AP90" s="125"/>
    </row>
    <row r="91" spans="1:42" x14ac:dyDescent="0.2">
      <c r="F91" s="167"/>
      <c r="G91" s="189"/>
      <c r="H91" s="190"/>
      <c r="AP91" s="125"/>
    </row>
    <row r="92" spans="1:42" x14ac:dyDescent="0.2">
      <c r="G92" s="189"/>
      <c r="H92" s="190"/>
      <c r="AD92" s="198" t="str">
        <f>AC85&amp;" minus "&amp;E85</f>
        <v>c5.70 minus c5.38</v>
      </c>
      <c r="AE92" s="197"/>
      <c r="AL92" s="198" t="str">
        <f>E93&amp;" minus "&amp;AC93</f>
        <v>c5.39 minus c5.71</v>
      </c>
      <c r="AP92" s="125"/>
    </row>
    <row r="93" spans="1:42" x14ac:dyDescent="0.2">
      <c r="C93" s="188" t="s">
        <v>456</v>
      </c>
      <c r="E93" s="177" t="str">
        <f>A39</f>
        <v>c5.39</v>
      </c>
      <c r="F93" s="131">
        <v>0</v>
      </c>
      <c r="G93" s="189"/>
      <c r="H93" s="190"/>
      <c r="AC93" s="177" t="str">
        <f>A71</f>
        <v>c5.71</v>
      </c>
      <c r="AD93" s="133">
        <f>MAX(0,AD85-F85)</f>
        <v>11000</v>
      </c>
      <c r="AE93" s="120"/>
      <c r="AK93" s="177" t="str">
        <f>A80</f>
        <v>c5.80</v>
      </c>
      <c r="AL93" s="133">
        <f>MAX(0,F93-AD93)</f>
        <v>0</v>
      </c>
      <c r="AP93" s="188" t="s">
        <v>456</v>
      </c>
    </row>
    <row r="94" spans="1:42" x14ac:dyDescent="0.2">
      <c r="G94" s="189"/>
      <c r="H94" s="190"/>
      <c r="AF94" s="92"/>
      <c r="AG94" s="92"/>
      <c r="AH94" s="92"/>
      <c r="AI94" s="92"/>
      <c r="AJ94" s="92"/>
      <c r="AK94" s="92"/>
      <c r="AL94" s="159"/>
      <c r="AP94" s="125"/>
    </row>
    <row r="95" spans="1:42" x14ac:dyDescent="0.2">
      <c r="G95" s="189"/>
      <c r="H95" s="190"/>
      <c r="AL95" s="195" t="str">
        <f>"add "&amp;AK85&amp;" + "&amp;AK93&amp;" + "&amp;AK102</f>
        <v>add c5.79 + c5.80 + c5.81</v>
      </c>
      <c r="AP95" s="125"/>
    </row>
    <row r="96" spans="1:42" x14ac:dyDescent="0.2">
      <c r="G96" s="189"/>
      <c r="H96" s="190"/>
      <c r="AC96" s="100"/>
      <c r="AD96" s="100"/>
      <c r="AE96" s="100"/>
      <c r="AF96" s="100"/>
      <c r="AG96" s="100"/>
      <c r="AH96" s="100"/>
      <c r="AI96" s="100"/>
      <c r="AJ96" s="100"/>
      <c r="AK96" s="100"/>
      <c r="AL96" s="202" t="str">
        <f>"and copy to "&amp;'[1]tax it (c6)'!N18&amp;")"</f>
        <v>and copy to c6.23)</v>
      </c>
    </row>
    <row r="97" spans="3:42" x14ac:dyDescent="0.2">
      <c r="C97" s="72"/>
      <c r="F97" s="94"/>
      <c r="G97" s="189"/>
      <c r="H97" s="190"/>
      <c r="AP97" s="125"/>
    </row>
    <row r="98" spans="3:42" x14ac:dyDescent="0.2">
      <c r="C98" s="72"/>
      <c r="F98" s="167"/>
      <c r="G98" s="189"/>
      <c r="H98" s="190"/>
      <c r="AD98" s="75"/>
      <c r="AE98" s="75"/>
      <c r="AP98" s="125"/>
    </row>
    <row r="99" spans="3:42" x14ac:dyDescent="0.2">
      <c r="G99" s="189"/>
      <c r="H99" s="190"/>
      <c r="AP99" s="125"/>
    </row>
    <row r="100" spans="3:42" x14ac:dyDescent="0.2">
      <c r="E100" s="166"/>
      <c r="F100" s="167"/>
      <c r="G100" s="189"/>
      <c r="H100" s="190"/>
      <c r="AP100" s="125"/>
    </row>
    <row r="101" spans="3:42" x14ac:dyDescent="0.2">
      <c r="G101" s="189"/>
      <c r="H101" s="190"/>
      <c r="AD101" s="198" t="str">
        <f>AC93&amp;" minus "&amp;E93</f>
        <v>c5.71 minus c5.39</v>
      </c>
      <c r="AE101" s="197"/>
      <c r="AL101" s="198" t="str">
        <f>E102&amp;" minus "&amp;AC102</f>
        <v>c5.40 minus c5.72</v>
      </c>
      <c r="AP101" s="125"/>
    </row>
    <row r="102" spans="3:42" x14ac:dyDescent="0.2">
      <c r="C102" s="188" t="s">
        <v>457</v>
      </c>
      <c r="E102" s="177" t="str">
        <f>A40</f>
        <v>c5.40</v>
      </c>
      <c r="F102" s="131">
        <f>'Initial calcs'!D10</f>
        <v>0</v>
      </c>
      <c r="G102" s="189"/>
      <c r="H102" s="190"/>
      <c r="AC102" s="177" t="str">
        <f>A72</f>
        <v>c5.72</v>
      </c>
      <c r="AD102" s="133">
        <f>MAX(0,AD93-F93)</f>
        <v>11000</v>
      </c>
      <c r="AE102" s="120"/>
      <c r="AK102" s="177" t="str">
        <f>A81</f>
        <v>c5.81</v>
      </c>
      <c r="AL102" s="133">
        <f>MAX(0,F102-AD102)</f>
        <v>0</v>
      </c>
      <c r="AP102" s="188" t="s">
        <v>457</v>
      </c>
    </row>
    <row r="103" spans="3:42" x14ac:dyDescent="0.2">
      <c r="G103" s="189"/>
      <c r="H103" s="190"/>
      <c r="AL103" s="159"/>
      <c r="AP103" s="125"/>
    </row>
    <row r="104" spans="3:42" x14ac:dyDescent="0.2">
      <c r="G104" s="189"/>
      <c r="H104" s="190"/>
      <c r="AL104" s="167" t="str">
        <f>"add "&amp;AK85&amp;" + "&amp;AK93&amp;" + "&amp;AK102</f>
        <v>add c5.79 + c5.80 + c5.81</v>
      </c>
      <c r="AP104" s="125"/>
    </row>
    <row r="105" spans="3:42" x14ac:dyDescent="0.2">
      <c r="G105" s="189"/>
      <c r="H105" s="190"/>
      <c r="AC105" s="100"/>
      <c r="AD105" s="100"/>
      <c r="AE105" s="100"/>
      <c r="AF105" s="100"/>
      <c r="AG105" s="100"/>
      <c r="AH105" s="100"/>
      <c r="AI105" s="100"/>
      <c r="AJ105" s="100"/>
      <c r="AK105" s="100"/>
      <c r="AL105" s="85"/>
    </row>
    <row r="106" spans="3:42" x14ac:dyDescent="0.2">
      <c r="G106" s="189"/>
      <c r="H106" s="190"/>
      <c r="AC106" s="100"/>
      <c r="AD106" s="100"/>
      <c r="AE106" s="100"/>
      <c r="AF106" s="100"/>
      <c r="AG106" s="100"/>
      <c r="AH106" s="100"/>
      <c r="AI106" s="100"/>
      <c r="AJ106" s="100"/>
      <c r="AK106" s="100"/>
      <c r="AL106" s="100"/>
    </row>
    <row r="107" spans="3:42" x14ac:dyDescent="0.2">
      <c r="C107" s="188" t="s">
        <v>458</v>
      </c>
      <c r="F107" s="83"/>
      <c r="G107" s="189"/>
      <c r="H107" s="190"/>
      <c r="AD107" s="198" t="str">
        <f>AC102&amp;" minus "&amp;E102</f>
        <v>c5.72 minus c5.40</v>
      </c>
      <c r="AE107" s="197"/>
      <c r="AL107" s="198" t="str">
        <f>E108&amp;" minus "&amp;AC108</f>
        <v>c5.41 minus c5.73</v>
      </c>
      <c r="AP107" s="188" t="s">
        <v>458</v>
      </c>
    </row>
    <row r="108" spans="3:42" x14ac:dyDescent="0.2">
      <c r="C108" s="188" t="s">
        <v>459</v>
      </c>
      <c r="E108" s="177" t="str">
        <f>A41</f>
        <v>c5.41</v>
      </c>
      <c r="F108" s="133">
        <f>'Initial calcs'!D7</f>
        <v>0</v>
      </c>
      <c r="G108" s="189"/>
      <c r="H108" s="190"/>
      <c r="AC108" s="177" t="str">
        <f>A73</f>
        <v>c5.73</v>
      </c>
      <c r="AD108" s="133">
        <f>MAX(0,AD102-F102)</f>
        <v>11000</v>
      </c>
      <c r="AE108" s="120"/>
      <c r="AK108" s="177" t="str">
        <f>A82</f>
        <v>c5.82</v>
      </c>
      <c r="AL108" s="133">
        <f>MAX(0,F108-AD108)</f>
        <v>0</v>
      </c>
      <c r="AP108" s="188" t="s">
        <v>459</v>
      </c>
    </row>
    <row r="109" spans="3:42" x14ac:dyDescent="0.2">
      <c r="G109" s="189"/>
      <c r="H109" s="190"/>
      <c r="AL109" s="200"/>
      <c r="AP109" s="125"/>
    </row>
    <row r="110" spans="3:42" x14ac:dyDescent="0.2">
      <c r="G110" s="189"/>
      <c r="H110" s="190"/>
      <c r="AC110" s="100"/>
      <c r="AD110" s="100"/>
      <c r="AE110" s="100"/>
      <c r="AF110" s="100"/>
      <c r="AG110" s="100"/>
      <c r="AH110" s="100"/>
      <c r="AI110" s="100"/>
      <c r="AJ110" s="100"/>
      <c r="AK110" s="100"/>
      <c r="AL110" s="197"/>
    </row>
    <row r="111" spans="3:42" x14ac:dyDescent="0.2">
      <c r="G111" s="189"/>
      <c r="H111" s="190"/>
      <c r="AP111" s="125"/>
    </row>
    <row r="112" spans="3:42" x14ac:dyDescent="0.2">
      <c r="C112" s="188" t="s">
        <v>361</v>
      </c>
      <c r="F112" s="167"/>
      <c r="G112" s="189"/>
      <c r="H112" s="190"/>
      <c r="AD112" s="198" t="str">
        <f>AC108&amp;" minus "&amp;E108</f>
        <v>c5.73 minus c5.41</v>
      </c>
      <c r="AE112" s="197"/>
      <c r="AL112" s="198" t="str">
        <f>E113&amp;" minus "&amp;AC113</f>
        <v>c5.42 minus c5.74</v>
      </c>
      <c r="AP112" s="188" t="s">
        <v>361</v>
      </c>
    </row>
    <row r="113" spans="2:42" x14ac:dyDescent="0.2">
      <c r="C113" s="188" t="s">
        <v>460</v>
      </c>
      <c r="E113" s="177" t="str">
        <f>A42</f>
        <v>c5.42</v>
      </c>
      <c r="F113" s="133">
        <v>0</v>
      </c>
      <c r="G113" s="189"/>
      <c r="H113" s="190"/>
      <c r="AC113" s="177" t="str">
        <f>A74</f>
        <v>c5.74</v>
      </c>
      <c r="AD113" s="133">
        <f>MAX(0,AD108-F108)</f>
        <v>11000</v>
      </c>
      <c r="AE113" s="120"/>
      <c r="AK113" s="177" t="str">
        <f>A83</f>
        <v>c5.83</v>
      </c>
      <c r="AL113" s="133">
        <f>MAX(0,F113-AD113)</f>
        <v>0</v>
      </c>
      <c r="AP113" s="188" t="s">
        <v>460</v>
      </c>
    </row>
    <row r="114" spans="2:42" x14ac:dyDescent="0.2">
      <c r="G114" s="189"/>
      <c r="H114" s="190"/>
      <c r="AL114" s="167" t="str">
        <f>"add "&amp;AK57&amp;" + "&amp;AK113&amp;" and"</f>
        <v>add c5.76 + c5.83 and</v>
      </c>
    </row>
    <row r="115" spans="2:42" x14ac:dyDescent="0.2">
      <c r="G115" s="189"/>
      <c r="H115" s="190"/>
      <c r="AL115" s="200"/>
    </row>
    <row r="116" spans="2:42" x14ac:dyDescent="0.2">
      <c r="G116" s="189"/>
      <c r="H116" s="190"/>
      <c r="AP116" s="125"/>
    </row>
    <row r="117" spans="2:42" x14ac:dyDescent="0.2">
      <c r="C117" s="188" t="s">
        <v>461</v>
      </c>
      <c r="F117" s="166"/>
      <c r="G117" s="189"/>
      <c r="H117" s="190"/>
      <c r="AD117" s="198" t="str">
        <f>AC113&amp;" minus "&amp;E113</f>
        <v>c5.74 minus c5.42</v>
      </c>
      <c r="AE117" s="197"/>
      <c r="AL117" s="198" t="str">
        <f>E118&amp;" minus "&amp;AC118</f>
        <v>c5.43 minus c5.75</v>
      </c>
      <c r="AP117" s="188" t="s">
        <v>461</v>
      </c>
    </row>
    <row r="118" spans="2:42" x14ac:dyDescent="0.2">
      <c r="C118" s="188" t="s">
        <v>462</v>
      </c>
      <c r="E118" s="177" t="str">
        <f>A43</f>
        <v>c5.43</v>
      </c>
      <c r="F118" s="133">
        <v>0</v>
      </c>
      <c r="G118" s="189"/>
      <c r="H118" s="190"/>
      <c r="AC118" s="177" t="str">
        <f>A75</f>
        <v>c5.75</v>
      </c>
      <c r="AD118" s="133">
        <f>MAX(0,AD113-F113)</f>
        <v>11000</v>
      </c>
      <c r="AE118" s="120"/>
      <c r="AK118" s="177" t="str">
        <f>A84</f>
        <v>c5.84</v>
      </c>
      <c r="AL118" s="133">
        <f>MAX(0,F118-AD118)</f>
        <v>0</v>
      </c>
      <c r="AP118" s="188" t="s">
        <v>462</v>
      </c>
    </row>
    <row r="119" spans="2:42" x14ac:dyDescent="0.2">
      <c r="G119" s="189"/>
      <c r="H119" s="190"/>
      <c r="AL119" s="167" t="str">
        <f>"add "&amp;AK64&amp;" + "&amp;AK118&amp;" and"</f>
        <v>add c5.77 + c5.84 and</v>
      </c>
    </row>
    <row r="120" spans="2:42" x14ac:dyDescent="0.2">
      <c r="G120" s="189"/>
      <c r="H120" s="190"/>
      <c r="AL120" s="200"/>
    </row>
    <row r="121" spans="2:42" x14ac:dyDescent="0.2">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row>
    <row r="122" spans="2:42" x14ac:dyDescent="0.2">
      <c r="C122" s="72"/>
    </row>
    <row r="123" spans="2:42" x14ac:dyDescent="0.2">
      <c r="F123" s="94"/>
      <c r="G123" s="189"/>
      <c r="H123" s="190"/>
    </row>
    <row r="124" spans="2:42" x14ac:dyDescent="0.2">
      <c r="F124" s="166"/>
      <c r="G124" s="189"/>
      <c r="H124" s="190"/>
    </row>
    <row r="125" spans="2:42" x14ac:dyDescent="0.2">
      <c r="E125" s="94"/>
      <c r="F125" s="112"/>
      <c r="G125" s="189"/>
      <c r="H125" s="190"/>
    </row>
    <row r="126" spans="2:42" x14ac:dyDescent="0.2">
      <c r="C126" s="72"/>
      <c r="F126" s="166"/>
      <c r="G126" s="189"/>
      <c r="H126" s="190"/>
    </row>
    <row r="127" spans="2:42" ht="12" x14ac:dyDescent="0.25">
      <c r="C127" s="203" t="s">
        <v>326</v>
      </c>
      <c r="G127" s="168"/>
      <c r="H127" s="190"/>
      <c r="AL127" s="167" t="str">
        <f>E128&amp;" minus "&amp;E8</f>
        <v>c5.85 minus c5.1</v>
      </c>
    </row>
    <row r="128" spans="2:42" ht="12" x14ac:dyDescent="0.25">
      <c r="C128" s="203" t="s">
        <v>463</v>
      </c>
      <c r="E128" s="177" t="str">
        <f>A85</f>
        <v>c5.85</v>
      </c>
      <c r="F128" s="96">
        <f>'Initial calcs'!D13</f>
        <v>0</v>
      </c>
      <c r="G128" s="168"/>
      <c r="H128" s="190"/>
      <c r="AF128" s="132" t="s">
        <v>291</v>
      </c>
      <c r="AG128" s="132"/>
      <c r="AH128" s="132"/>
      <c r="AI128" s="132"/>
      <c r="AJ128" s="132"/>
      <c r="AK128" s="177" t="str">
        <f>A86</f>
        <v>c5.86</v>
      </c>
      <c r="AL128" s="133">
        <f>MAX(0,F128-F8)</f>
        <v>0</v>
      </c>
    </row>
    <row r="129" spans="2:22" x14ac:dyDescent="0.2">
      <c r="B129" s="204"/>
      <c r="C129" s="205"/>
      <c r="D129" s="206"/>
      <c r="E129" s="206"/>
      <c r="F129" s="206"/>
      <c r="G129" s="206"/>
      <c r="H129" s="206"/>
      <c r="I129" s="206"/>
      <c r="J129" s="206"/>
      <c r="K129" s="206"/>
      <c r="L129" s="206"/>
      <c r="M129" s="206"/>
      <c r="N129" s="206"/>
      <c r="O129" s="206"/>
      <c r="P129" s="206"/>
      <c r="Q129" s="206"/>
      <c r="R129" s="207" t="s">
        <v>464</v>
      </c>
      <c r="S129" s="105"/>
      <c r="T129" s="105"/>
      <c r="U129" s="105"/>
      <c r="V129" s="105"/>
    </row>
    <row r="130" spans="2:22" ht="12" x14ac:dyDescent="0.25">
      <c r="B130" s="208" t="s">
        <v>269</v>
      </c>
      <c r="C130" s="205"/>
      <c r="D130" s="206"/>
      <c r="E130" s="206"/>
      <c r="F130" s="206"/>
      <c r="G130" s="206"/>
      <c r="H130" s="206"/>
      <c r="I130" s="206"/>
      <c r="J130" s="206"/>
      <c r="K130" s="206"/>
      <c r="L130" s="206"/>
      <c r="M130" s="206"/>
      <c r="N130" s="206"/>
      <c r="O130" s="206"/>
      <c r="P130" s="206"/>
      <c r="Q130" s="206"/>
      <c r="R130" s="207" t="s">
        <v>288</v>
      </c>
      <c r="S130" s="105"/>
      <c r="T130" s="105"/>
      <c r="U130" s="105"/>
      <c r="V130" s="105"/>
    </row>
    <row r="131" spans="2:22" x14ac:dyDescent="0.2">
      <c r="B131" s="173"/>
      <c r="C131" s="99"/>
      <c r="D131" s="99"/>
      <c r="E131" s="206"/>
      <c r="F131" s="206"/>
      <c r="G131" s="206"/>
      <c r="H131" s="206"/>
      <c r="I131" s="206"/>
      <c r="J131" s="206"/>
      <c r="K131" s="206"/>
      <c r="L131" s="209" t="s">
        <v>465</v>
      </c>
      <c r="M131" s="209"/>
      <c r="N131" s="209"/>
      <c r="O131" s="209"/>
      <c r="P131" s="209"/>
      <c r="Q131" s="210" t="s">
        <v>378</v>
      </c>
      <c r="R131" s="211">
        <v>0</v>
      </c>
      <c r="S131" s="212"/>
      <c r="T131" s="212"/>
      <c r="U131" s="212"/>
      <c r="V131" s="212"/>
    </row>
    <row r="132" spans="2:22" x14ac:dyDescent="0.2">
      <c r="B132" s="119"/>
      <c r="C132" s="72"/>
      <c r="E132" s="206"/>
      <c r="F132" s="206"/>
      <c r="G132" s="206"/>
      <c r="H132" s="206"/>
      <c r="I132" s="206"/>
      <c r="J132" s="206"/>
      <c r="K132" s="206"/>
      <c r="L132" s="206"/>
      <c r="M132" s="206"/>
      <c r="N132" s="206"/>
      <c r="O132" s="206"/>
      <c r="P132" s="206"/>
      <c r="Q132" s="206"/>
      <c r="R132" s="206"/>
      <c r="S132" s="92"/>
      <c r="T132" s="92"/>
      <c r="U132" s="92"/>
      <c r="V132" s="92"/>
    </row>
    <row r="133" spans="2:22" ht="12" x14ac:dyDescent="0.25">
      <c r="B133" s="208" t="s">
        <v>279</v>
      </c>
      <c r="C133" s="208"/>
      <c r="D133" s="206"/>
      <c r="E133" s="206"/>
      <c r="F133" s="206"/>
      <c r="G133" s="206"/>
      <c r="H133" s="206"/>
      <c r="I133" s="206"/>
      <c r="J133" s="206"/>
      <c r="K133" s="206"/>
      <c r="L133" s="206"/>
      <c r="M133" s="206"/>
      <c r="N133" s="206"/>
      <c r="O133" s="206"/>
      <c r="P133" s="206"/>
      <c r="Q133" s="206"/>
      <c r="R133" s="206"/>
      <c r="S133" s="92"/>
      <c r="T133" s="92"/>
      <c r="U133" s="92"/>
      <c r="V133" s="92"/>
    </row>
    <row r="134" spans="2:22" ht="12" x14ac:dyDescent="0.25">
      <c r="B134" s="208" t="s">
        <v>300</v>
      </c>
      <c r="C134" s="208"/>
      <c r="D134" s="206"/>
      <c r="E134" s="206"/>
      <c r="F134" s="206"/>
      <c r="G134" s="206"/>
      <c r="H134" s="206"/>
      <c r="I134" s="206"/>
      <c r="J134" s="206"/>
      <c r="K134" s="206"/>
      <c r="L134" s="206"/>
      <c r="M134" s="206"/>
      <c r="N134" s="206"/>
      <c r="O134" s="206"/>
      <c r="P134" s="206"/>
      <c r="Q134" s="206"/>
      <c r="R134" s="206"/>
      <c r="S134" s="92"/>
      <c r="T134" s="92"/>
      <c r="U134" s="92"/>
      <c r="V134" s="92"/>
    </row>
    <row r="135" spans="2:22" x14ac:dyDescent="0.2">
      <c r="B135" s="206"/>
      <c r="C135" s="213"/>
      <c r="D135" s="206"/>
      <c r="E135" s="206"/>
      <c r="F135" s="206"/>
      <c r="G135" s="206"/>
      <c r="H135" s="206"/>
      <c r="I135" s="206"/>
      <c r="J135" s="206"/>
      <c r="K135" s="206"/>
      <c r="L135" s="206"/>
      <c r="M135" s="206"/>
      <c r="N135" s="206"/>
      <c r="O135" s="206"/>
      <c r="P135" s="206"/>
      <c r="Q135" s="206"/>
      <c r="R135" s="206"/>
      <c r="S135" s="92"/>
      <c r="T135" s="92"/>
      <c r="U135" s="92"/>
      <c r="V135" s="92"/>
    </row>
    <row r="136" spans="2:22" ht="12" x14ac:dyDescent="0.25">
      <c r="B136" s="214"/>
      <c r="C136" s="213"/>
      <c r="D136" s="206"/>
      <c r="E136" s="206"/>
      <c r="F136" s="206"/>
      <c r="G136" s="206"/>
      <c r="H136" s="206"/>
      <c r="I136" s="206"/>
      <c r="J136" s="206"/>
      <c r="K136" s="206"/>
      <c r="L136" s="206"/>
      <c r="M136" s="206"/>
      <c r="N136" s="206"/>
      <c r="O136" s="206"/>
      <c r="P136" s="206"/>
      <c r="Q136" s="206"/>
      <c r="R136" s="206"/>
      <c r="S136" s="92"/>
      <c r="T136" s="92"/>
      <c r="U136" s="92"/>
      <c r="V136" s="92"/>
    </row>
    <row r="137" spans="2:22" x14ac:dyDescent="0.2">
      <c r="B137" s="206"/>
      <c r="C137" s="213"/>
      <c r="D137" s="206"/>
      <c r="E137" s="206"/>
      <c r="F137" s="206"/>
      <c r="G137" s="206"/>
      <c r="H137" s="206"/>
      <c r="I137" s="206"/>
      <c r="J137" s="206"/>
      <c r="K137" s="206"/>
      <c r="L137" s="206"/>
      <c r="M137" s="206"/>
      <c r="N137" s="206"/>
      <c r="O137" s="206"/>
      <c r="P137" s="206"/>
      <c r="Q137" s="206"/>
      <c r="R137" s="206"/>
      <c r="S137" s="92"/>
      <c r="T137" s="92"/>
      <c r="U137" s="92"/>
      <c r="V137" s="92"/>
    </row>
    <row r="138" spans="2:22" x14ac:dyDescent="0.2">
      <c r="B138" s="206"/>
      <c r="C138" s="213"/>
      <c r="D138" s="206"/>
      <c r="E138" s="206"/>
      <c r="F138" s="206"/>
      <c r="G138" s="206"/>
      <c r="H138" s="206"/>
      <c r="I138" s="206"/>
      <c r="J138" s="206"/>
      <c r="K138" s="206"/>
      <c r="L138" s="206"/>
      <c r="M138" s="206"/>
      <c r="N138" s="206"/>
      <c r="O138" s="206"/>
      <c r="P138" s="206"/>
      <c r="Q138" s="206"/>
      <c r="R138" s="206"/>
      <c r="S138" s="92"/>
      <c r="T138" s="92"/>
      <c r="U138" s="92"/>
      <c r="V138" s="92"/>
    </row>
    <row r="139" spans="2:22" x14ac:dyDescent="0.2">
      <c r="B139" s="206"/>
      <c r="C139" s="213"/>
      <c r="D139" s="206"/>
      <c r="E139" s="206"/>
      <c r="F139" s="206"/>
      <c r="G139" s="206"/>
      <c r="H139" s="206"/>
      <c r="I139" s="206"/>
      <c r="J139" s="206"/>
      <c r="K139" s="206"/>
      <c r="L139" s="206"/>
      <c r="M139" s="206"/>
      <c r="N139" s="206"/>
      <c r="O139" s="206"/>
      <c r="P139" s="206"/>
      <c r="Q139" s="206"/>
      <c r="R139" s="206"/>
      <c r="S139" s="92"/>
      <c r="T139" s="92"/>
      <c r="U139" s="92"/>
      <c r="V139" s="92"/>
    </row>
    <row r="140" spans="2:22" ht="12" x14ac:dyDescent="0.25">
      <c r="B140" s="204" t="s">
        <v>466</v>
      </c>
      <c r="C140" s="208"/>
      <c r="D140" s="206"/>
      <c r="E140" s="99"/>
      <c r="F140" s="99"/>
      <c r="G140" s="99"/>
      <c r="H140" s="99"/>
      <c r="I140" s="99"/>
      <c r="J140" s="99"/>
      <c r="K140" s="99"/>
      <c r="L140" s="99"/>
      <c r="M140" s="99"/>
      <c r="N140" s="99"/>
      <c r="O140" s="99"/>
      <c r="P140" s="99"/>
      <c r="Q140" s="99"/>
      <c r="R140" s="99"/>
      <c r="S140" s="100"/>
      <c r="T140" s="100"/>
      <c r="U140" s="100"/>
      <c r="V140" s="100"/>
    </row>
    <row r="141" spans="2:22" ht="12" x14ac:dyDescent="0.25">
      <c r="B141" s="204" t="s">
        <v>467</v>
      </c>
      <c r="C141" s="208"/>
      <c r="D141" s="206"/>
    </row>
    <row r="142" spans="2:22" x14ac:dyDescent="0.2">
      <c r="B142" s="215" t="s">
        <v>468</v>
      </c>
      <c r="C142" s="213"/>
      <c r="D142" s="206"/>
    </row>
    <row r="143" spans="2:22" x14ac:dyDescent="0.2">
      <c r="B143" s="215" t="s">
        <v>280</v>
      </c>
      <c r="C143" s="213"/>
      <c r="D143" s="206"/>
    </row>
    <row r="144" spans="2:22" x14ac:dyDescent="0.2">
      <c r="B144" s="215" t="s">
        <v>469</v>
      </c>
      <c r="C144" s="213"/>
      <c r="D144" s="206"/>
    </row>
    <row r="145" spans="2:4" x14ac:dyDescent="0.2">
      <c r="B145" s="215" t="s">
        <v>199</v>
      </c>
      <c r="C145" s="213"/>
      <c r="D145" s="206"/>
    </row>
    <row r="146" spans="2:4" x14ac:dyDescent="0.2">
      <c r="B146" s="215" t="s">
        <v>470</v>
      </c>
      <c r="C146" s="213"/>
      <c r="D146" s="206"/>
    </row>
    <row r="147" spans="2:4" x14ac:dyDescent="0.2">
      <c r="B147" s="215" t="s">
        <v>200</v>
      </c>
      <c r="C147" s="213"/>
      <c r="D147" s="206"/>
    </row>
    <row r="148" spans="2:4" x14ac:dyDescent="0.2">
      <c r="B148" s="173"/>
      <c r="C148" s="99"/>
      <c r="D148" s="9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Y74"/>
  <sheetViews>
    <sheetView topLeftCell="B13" workbookViewId="0">
      <selection activeCell="G35" sqref="G35"/>
    </sheetView>
  </sheetViews>
  <sheetFormatPr defaultColWidth="8.88671875" defaultRowHeight="11.4" x14ac:dyDescent="0.2"/>
  <cols>
    <col min="1" max="1" width="3.44140625" style="190" hidden="1" customWidth="1"/>
    <col min="2" max="2" width="8.33203125" style="190" customWidth="1"/>
    <col min="3" max="3" width="6" style="190" customWidth="1"/>
    <col min="4" max="4" width="14" style="190" customWidth="1"/>
    <col min="5" max="5" width="2.33203125" style="190" customWidth="1"/>
    <col min="6" max="6" width="5.5546875" style="190" customWidth="1"/>
    <col min="7" max="7" width="18.5546875" style="190" customWidth="1"/>
    <col min="8" max="9" width="2.109375" style="190" customWidth="1"/>
    <col min="10" max="10" width="5.5546875" style="190" customWidth="1"/>
    <col min="11" max="11" width="18.5546875" style="190" customWidth="1"/>
    <col min="12" max="12" width="3.44140625" style="190" customWidth="1"/>
    <col min="13" max="13" width="2.33203125" style="190" customWidth="1"/>
    <col min="14" max="14" width="5.5546875" style="190" customWidth="1"/>
    <col min="15" max="15" width="24.109375" style="190" customWidth="1"/>
    <col min="16" max="16" width="1.88671875" style="190" customWidth="1"/>
    <col min="17" max="17" width="2.5546875" style="190" customWidth="1"/>
    <col min="18" max="18" width="5.5546875" style="190" customWidth="1"/>
    <col min="19" max="19" width="18.5546875" style="190" customWidth="1"/>
    <col min="20" max="20" width="2.5546875" style="190" customWidth="1"/>
    <col min="21" max="21" width="2.6640625" style="190" customWidth="1"/>
    <col min="22" max="22" width="5.5546875" style="190" customWidth="1"/>
    <col min="23" max="23" width="18.5546875" style="190" customWidth="1"/>
    <col min="24" max="24" width="2.33203125" style="190" customWidth="1"/>
    <col min="25" max="16384" width="8.88671875" style="190"/>
  </cols>
  <sheetData>
    <row r="1" spans="1:25" ht="17.399999999999999" x14ac:dyDescent="0.3">
      <c r="A1" s="216" t="s">
        <v>471</v>
      </c>
      <c r="B1" s="217" t="s">
        <v>472</v>
      </c>
      <c r="J1" s="218" t="s">
        <v>333</v>
      </c>
      <c r="K1" s="219"/>
      <c r="L1" s="219"/>
      <c r="M1" s="219"/>
      <c r="N1" s="219"/>
      <c r="O1" s="220"/>
      <c r="Q1" s="101"/>
    </row>
    <row r="2" spans="1:25" x14ac:dyDescent="0.2">
      <c r="A2" s="216" t="s">
        <v>473</v>
      </c>
    </row>
    <row r="3" spans="1:25" x14ac:dyDescent="0.2">
      <c r="A3" s="216" t="s">
        <v>474</v>
      </c>
      <c r="J3" s="221"/>
      <c r="K3" s="222" t="s">
        <v>74</v>
      </c>
    </row>
    <row r="4" spans="1:25" ht="12" x14ac:dyDescent="0.25">
      <c r="A4" s="216" t="s">
        <v>475</v>
      </c>
      <c r="B4" s="223" t="s">
        <v>73</v>
      </c>
      <c r="J4" s="224" t="s">
        <v>476</v>
      </c>
      <c r="K4" s="225">
        <v>27000</v>
      </c>
    </row>
    <row r="5" spans="1:25" x14ac:dyDescent="0.2">
      <c r="A5" s="216" t="s">
        <v>476</v>
      </c>
    </row>
    <row r="6" spans="1:25" x14ac:dyDescent="0.2">
      <c r="A6" s="216" t="s">
        <v>477</v>
      </c>
      <c r="C6" s="226"/>
      <c r="D6" s="227" t="str">
        <f>" Boxes "&amp;A5&amp;" to "&amp;A7&amp;" not used (see boxes "&amp;'[1]Deductions (c4)'!D155&amp;" to "&amp;'[1]Deductions (c4)'!H162&amp;")"</f>
        <v xml:space="preserve"> Boxes c6.5 to c6.7 not used (see boxes c4.56 to c4.59)</v>
      </c>
      <c r="E6" s="228"/>
      <c r="F6" s="228"/>
      <c r="G6" s="228"/>
      <c r="H6" s="228"/>
      <c r="I6" s="228"/>
      <c r="J6" s="228"/>
      <c r="K6" s="229"/>
    </row>
    <row r="7" spans="1:25" x14ac:dyDescent="0.2">
      <c r="A7" s="216" t="s">
        <v>478</v>
      </c>
    </row>
    <row r="8" spans="1:25" ht="13.2" x14ac:dyDescent="0.25">
      <c r="A8" s="216" t="s">
        <v>479</v>
      </c>
      <c r="B8" s="230" t="s">
        <v>604</v>
      </c>
      <c r="C8" s="231"/>
      <c r="D8" s="231"/>
      <c r="E8" s="231"/>
      <c r="F8" s="231"/>
      <c r="G8" s="231"/>
      <c r="H8" s="231"/>
      <c r="I8" s="231"/>
      <c r="J8" s="231"/>
      <c r="K8" s="231"/>
      <c r="L8" s="231"/>
      <c r="M8" s="231"/>
      <c r="N8" s="231"/>
      <c r="O8" s="231"/>
      <c r="P8" s="231"/>
    </row>
    <row r="9" spans="1:25" x14ac:dyDescent="0.2">
      <c r="A9" s="216" t="s">
        <v>480</v>
      </c>
      <c r="B9" s="231" t="s">
        <v>605</v>
      </c>
      <c r="C9" s="231"/>
      <c r="D9" s="231"/>
      <c r="E9" s="231"/>
      <c r="F9" s="231"/>
      <c r="G9" s="231"/>
      <c r="H9" s="231"/>
      <c r="I9" s="231"/>
      <c r="J9" s="231"/>
      <c r="K9" s="231"/>
      <c r="L9" s="231"/>
      <c r="M9" s="231"/>
      <c r="N9" s="231"/>
      <c r="O9" s="231"/>
      <c r="P9" s="231"/>
    </row>
    <row r="10" spans="1:25" x14ac:dyDescent="0.2">
      <c r="A10" s="216" t="s">
        <v>481</v>
      </c>
      <c r="B10" s="232" t="s">
        <v>482</v>
      </c>
      <c r="C10" s="232"/>
      <c r="D10" s="232"/>
      <c r="E10" s="232"/>
      <c r="F10" s="232"/>
      <c r="G10" s="232"/>
      <c r="H10" s="232"/>
      <c r="I10" s="232"/>
      <c r="J10" s="232"/>
      <c r="K10" s="232"/>
      <c r="L10" s="232"/>
      <c r="M10" s="232"/>
      <c r="N10" s="232"/>
      <c r="O10" s="232"/>
      <c r="P10" s="232"/>
      <c r="Q10" s="232"/>
      <c r="R10" s="232"/>
      <c r="S10" s="232"/>
      <c r="X10" s="101"/>
    </row>
    <row r="11" spans="1:25" x14ac:dyDescent="0.2">
      <c r="A11" s="216" t="s">
        <v>483</v>
      </c>
    </row>
    <row r="12" spans="1:25" s="181" customFormat="1" ht="12" x14ac:dyDescent="0.25">
      <c r="A12" s="233" t="s">
        <v>484</v>
      </c>
      <c r="F12" s="223" t="s">
        <v>485</v>
      </c>
      <c r="H12" s="168"/>
      <c r="J12" s="234" t="s">
        <v>486</v>
      </c>
      <c r="L12" s="168"/>
      <c r="O12" s="235" t="s">
        <v>487</v>
      </c>
      <c r="P12" s="168"/>
      <c r="R12" s="234" t="s">
        <v>488</v>
      </c>
      <c r="T12" s="168"/>
      <c r="V12" s="234" t="s">
        <v>489</v>
      </c>
    </row>
    <row r="13" spans="1:25" s="181" customFormat="1" ht="12" x14ac:dyDescent="0.25">
      <c r="A13" s="233" t="s">
        <v>490</v>
      </c>
      <c r="F13" s="181" t="s">
        <v>491</v>
      </c>
      <c r="H13" s="168"/>
      <c r="J13" s="181" t="s">
        <v>492</v>
      </c>
      <c r="L13" s="168"/>
      <c r="P13" s="168"/>
      <c r="R13" s="181" t="s">
        <v>493</v>
      </c>
      <c r="T13" s="168"/>
      <c r="V13" s="181" t="s">
        <v>494</v>
      </c>
      <c r="X13" s="234"/>
      <c r="Y13" s="234"/>
    </row>
    <row r="14" spans="1:25" s="181" customFormat="1" ht="12" x14ac:dyDescent="0.25">
      <c r="A14" s="233" t="s">
        <v>495</v>
      </c>
      <c r="H14" s="168"/>
      <c r="J14" s="181" t="s">
        <v>496</v>
      </c>
      <c r="L14" s="168"/>
      <c r="M14" s="235"/>
      <c r="P14" s="168"/>
      <c r="T14" s="168"/>
      <c r="V14" s="181" t="s">
        <v>497</v>
      </c>
      <c r="X14" s="234"/>
      <c r="Y14" s="234"/>
    </row>
    <row r="15" spans="1:25" s="181" customFormat="1" ht="12" x14ac:dyDescent="0.25">
      <c r="A15" s="233" t="s">
        <v>498</v>
      </c>
      <c r="H15" s="168"/>
      <c r="J15" s="181" t="s">
        <v>499</v>
      </c>
      <c r="L15" s="168"/>
      <c r="M15" s="236"/>
      <c r="P15" s="168"/>
      <c r="T15" s="168"/>
      <c r="Y15" s="234"/>
    </row>
    <row r="16" spans="1:25" x14ac:dyDescent="0.2">
      <c r="A16" s="216" t="s">
        <v>500</v>
      </c>
      <c r="H16" s="189"/>
      <c r="L16" s="189"/>
      <c r="P16" s="189"/>
      <c r="T16" s="189"/>
      <c r="Y16" s="101"/>
    </row>
    <row r="17" spans="1:25" x14ac:dyDescent="0.2">
      <c r="A17" s="216" t="s">
        <v>501</v>
      </c>
      <c r="G17" s="192"/>
      <c r="H17" s="189"/>
      <c r="K17" s="192"/>
      <c r="L17" s="189"/>
      <c r="M17" s="104"/>
      <c r="N17" s="101"/>
      <c r="O17" s="192"/>
      <c r="P17" s="189"/>
      <c r="S17" s="192"/>
      <c r="T17" s="189"/>
      <c r="U17" s="104"/>
      <c r="V17" s="101"/>
      <c r="W17" s="192"/>
      <c r="X17" s="104"/>
      <c r="Y17" s="101"/>
    </row>
    <row r="18" spans="1:25" ht="12" x14ac:dyDescent="0.25">
      <c r="A18" s="216" t="s">
        <v>502</v>
      </c>
      <c r="D18" s="237" t="s">
        <v>503</v>
      </c>
      <c r="F18" s="238" t="str">
        <f>A1</f>
        <v>c6.1</v>
      </c>
      <c r="G18" s="87">
        <f>'Stage 5'!AL57+'Stage 5'!AL113</f>
        <v>0</v>
      </c>
      <c r="H18" s="189"/>
      <c r="J18" s="239" t="str">
        <f>A11</f>
        <v>c6.11</v>
      </c>
      <c r="K18" s="96">
        <f>'Stage 5'!AL72</f>
        <v>0</v>
      </c>
      <c r="L18" s="189"/>
      <c r="M18" s="240"/>
      <c r="N18" s="239" t="str">
        <f>A23</f>
        <v>c6.23</v>
      </c>
      <c r="O18" s="96">
        <f>'Stage 5'!AL85+'Stage 5'!AL93+'Stage 5'!AL102</f>
        <v>0</v>
      </c>
      <c r="P18" s="189"/>
      <c r="R18" s="238" t="str">
        <f>A35</f>
        <v>c6.35</v>
      </c>
      <c r="S18" s="87">
        <f>'Stage 5'!AL64+'Stage 5'!AL118</f>
        <v>0</v>
      </c>
      <c r="T18" s="189"/>
      <c r="V18" s="238" t="str">
        <f>A45</f>
        <v>c6.45</v>
      </c>
      <c r="W18" s="96">
        <f>'Stage 5'!AL108</f>
        <v>0</v>
      </c>
      <c r="X18" s="104"/>
      <c r="Y18" s="101"/>
    </row>
    <row r="19" spans="1:25" x14ac:dyDescent="0.2">
      <c r="A19" s="216" t="s">
        <v>504</v>
      </c>
      <c r="H19" s="189"/>
      <c r="J19" s="101"/>
      <c r="L19" s="189"/>
      <c r="P19" s="189"/>
      <c r="T19" s="189"/>
      <c r="X19" s="101"/>
      <c r="Y19" s="101"/>
    </row>
    <row r="20" spans="1:25" x14ac:dyDescent="0.2">
      <c r="A20" s="216" t="s">
        <v>505</v>
      </c>
      <c r="G20" s="241" t="s">
        <v>72</v>
      </c>
      <c r="H20" s="189"/>
      <c r="J20" s="242"/>
      <c r="K20" s="243"/>
      <c r="L20" s="189"/>
      <c r="M20" s="244"/>
      <c r="N20" s="101"/>
      <c r="O20" s="245" t="str">
        <f>J21&amp;" minus "&amp;J24</f>
        <v>c6.12 minus c6.13</v>
      </c>
      <c r="P20" s="246"/>
      <c r="Q20" s="244"/>
      <c r="R20" s="247"/>
      <c r="S20" s="245" t="str">
        <f>N21&amp;" minus "&amp;N24</f>
        <v>c6.24 minus c6.25</v>
      </c>
      <c r="T20" s="246"/>
      <c r="U20" s="244"/>
      <c r="V20" s="248"/>
      <c r="W20" s="243"/>
      <c r="X20" s="101"/>
      <c r="Y20" s="101"/>
    </row>
    <row r="21" spans="1:25" ht="12" x14ac:dyDescent="0.25">
      <c r="A21" s="216" t="s">
        <v>506</v>
      </c>
      <c r="D21" s="241" t="s">
        <v>507</v>
      </c>
      <c r="E21" s="235"/>
      <c r="F21" s="238" t="str">
        <f>A2</f>
        <v>c6.2</v>
      </c>
      <c r="G21" s="249">
        <v>0</v>
      </c>
      <c r="H21" s="189"/>
      <c r="J21" s="250" t="str">
        <f>A12</f>
        <v>c6.12</v>
      </c>
      <c r="K21" s="251">
        <f>MIN(SR_band,(K18), MAX(0,'Stage 5'!F8+SR_band-'Stage 5'!F17))</f>
        <v>0</v>
      </c>
      <c r="L21" s="189"/>
      <c r="M21" s="252"/>
      <c r="N21" s="239" t="str">
        <f>A24</f>
        <v>c6.24</v>
      </c>
      <c r="O21" s="253">
        <f>MAX(0,K21-K24)</f>
        <v>0</v>
      </c>
      <c r="P21" s="246"/>
      <c r="Q21" s="252"/>
      <c r="R21" s="238" t="str">
        <f>A36</f>
        <v>c6.36</v>
      </c>
      <c r="S21" s="254">
        <f>MAX(0,O21-O24)</f>
        <v>0</v>
      </c>
      <c r="T21" s="246"/>
      <c r="U21" s="252"/>
      <c r="V21" s="250" t="str">
        <f>A46</f>
        <v>c6.46</v>
      </c>
      <c r="W21" s="255">
        <f>MAX(0,MIN(SR_band,(W18), MAX(0,'Stage 5'!F8+SR_band-'Stage 5'!F17),(SR_band-K24-G24)))</f>
        <v>0</v>
      </c>
      <c r="X21" s="101"/>
      <c r="Y21" s="101"/>
    </row>
    <row r="22" spans="1:25" x14ac:dyDescent="0.2">
      <c r="A22" s="216" t="s">
        <v>508</v>
      </c>
      <c r="H22" s="189"/>
      <c r="J22" s="101"/>
      <c r="L22" s="189"/>
      <c r="M22" s="256"/>
      <c r="P22" s="246"/>
      <c r="Q22" s="256"/>
      <c r="T22" s="246"/>
      <c r="U22" s="256"/>
      <c r="X22" s="101"/>
      <c r="Y22" s="101"/>
    </row>
    <row r="23" spans="1:25" x14ac:dyDescent="0.2">
      <c r="A23" s="216" t="s">
        <v>509</v>
      </c>
      <c r="G23" s="104" t="str">
        <f>"lower of "&amp;F18&amp;" and "&amp;F21</f>
        <v>lower of c6.1 and c6.2</v>
      </c>
      <c r="H23" s="189"/>
      <c r="K23" s="245" t="str">
        <f>"lower of "&amp;J18&amp;" and "&amp;J21</f>
        <v>lower of c6.11 and c6.12</v>
      </c>
      <c r="L23" s="189"/>
      <c r="M23" s="247"/>
      <c r="N23" s="257"/>
      <c r="O23" s="245" t="str">
        <f>"lower of "&amp;N18&amp;" and "&amp;N21</f>
        <v>lower of c6.23 and c6.24</v>
      </c>
      <c r="P23" s="246"/>
      <c r="Q23" s="247"/>
      <c r="R23" s="101"/>
      <c r="S23" s="104" t="str">
        <f>"lower of "&amp;R18&amp;" and "&amp;R21</f>
        <v>lower of c6.35 and c6.36</v>
      </c>
      <c r="T23" s="246"/>
      <c r="U23" s="247"/>
      <c r="V23" s="258"/>
      <c r="W23" s="104" t="str">
        <f>"lower of "&amp;V18&amp;" and "&amp;V21</f>
        <v>lower of c6.45 and c6.46</v>
      </c>
      <c r="X23" s="101"/>
      <c r="Y23" s="101"/>
    </row>
    <row r="24" spans="1:25" ht="12" x14ac:dyDescent="0.25">
      <c r="A24" s="216" t="s">
        <v>510</v>
      </c>
      <c r="D24" s="237" t="s">
        <v>511</v>
      </c>
      <c r="E24" s="241"/>
      <c r="F24" s="259" t="str">
        <f>A3</f>
        <v>c6.3</v>
      </c>
      <c r="G24" s="87">
        <f>MIN(G18,G21)</f>
        <v>0</v>
      </c>
      <c r="H24" s="189"/>
      <c r="J24" s="260" t="str">
        <f>A13</f>
        <v>c6.13</v>
      </c>
      <c r="K24" s="87">
        <f>MIN(K18,K21)</f>
        <v>0</v>
      </c>
      <c r="L24" s="189"/>
      <c r="M24" s="247"/>
      <c r="N24" s="261" t="str">
        <f>A25</f>
        <v>c6.25</v>
      </c>
      <c r="O24" s="87">
        <f>MIN(O21,O18)</f>
        <v>0</v>
      </c>
      <c r="P24" s="246"/>
      <c r="Q24" s="247"/>
      <c r="R24" s="259" t="str">
        <f>A37</f>
        <v>c6.37</v>
      </c>
      <c r="S24" s="262">
        <f>MIN(S21,S18)</f>
        <v>0</v>
      </c>
      <c r="T24" s="246"/>
      <c r="U24" s="247"/>
      <c r="V24" s="259" t="str">
        <f>A47</f>
        <v>c6.47</v>
      </c>
      <c r="W24" s="262">
        <f>MIN(W21,W18)</f>
        <v>0</v>
      </c>
      <c r="X24" s="101"/>
      <c r="Y24" s="101"/>
    </row>
    <row r="25" spans="1:25" x14ac:dyDescent="0.2">
      <c r="A25" s="216" t="s">
        <v>512</v>
      </c>
      <c r="H25" s="189"/>
      <c r="L25" s="189"/>
      <c r="M25" s="256"/>
      <c r="P25" s="246"/>
      <c r="Q25" s="101"/>
      <c r="R25" s="101"/>
      <c r="T25" s="189"/>
      <c r="X25" s="101"/>
      <c r="Y25" s="101"/>
    </row>
    <row r="26" spans="1:25" x14ac:dyDescent="0.2">
      <c r="A26" s="216" t="s">
        <v>513</v>
      </c>
      <c r="F26" s="101"/>
      <c r="G26" s="104" t="str">
        <f>F18&amp;" minus "&amp;F24</f>
        <v>c6.1 minus c6.3</v>
      </c>
      <c r="H26" s="189"/>
      <c r="K26" s="245" t="str">
        <f>J18&amp;" minus "&amp;J24</f>
        <v>c6.11 minus c6.13</v>
      </c>
      <c r="L26" s="189"/>
      <c r="M26" s="256"/>
      <c r="O26" s="245" t="str">
        <f>N18&amp;" minus "&amp;N24</f>
        <v>c6.23 minus c6.25</v>
      </c>
      <c r="P26" s="246"/>
      <c r="Q26" s="256"/>
      <c r="S26" s="104" t="str">
        <f>R18&amp;" minus "&amp;R24</f>
        <v>c6.35 minus c6.37</v>
      </c>
      <c r="T26" s="246"/>
      <c r="U26" s="256"/>
      <c r="W26" s="104" t="str">
        <f>V18&amp;" minus "&amp;V24</f>
        <v>c6.45 minus c6.47</v>
      </c>
      <c r="X26" s="101"/>
      <c r="Y26" s="101"/>
    </row>
    <row r="27" spans="1:25" x14ac:dyDescent="0.2">
      <c r="A27" s="216" t="s">
        <v>514</v>
      </c>
      <c r="B27" s="231"/>
      <c r="C27" s="231"/>
      <c r="D27" s="263" t="s">
        <v>515</v>
      </c>
      <c r="F27" s="238" t="str">
        <f>A4</f>
        <v>c6.4</v>
      </c>
      <c r="G27" s="87">
        <f>MAX(0,G18-G24)</f>
        <v>0</v>
      </c>
      <c r="H27" s="189"/>
      <c r="J27" s="239" t="str">
        <f>A14</f>
        <v>c6.14</v>
      </c>
      <c r="K27" s="87">
        <f>MAX(0,K18-K24)</f>
        <v>0</v>
      </c>
      <c r="L27" s="189"/>
      <c r="M27" s="256"/>
      <c r="N27" s="239" t="str">
        <f>A26</f>
        <v>c6.26</v>
      </c>
      <c r="O27" s="87">
        <f>MAX(0,O18-O24)</f>
        <v>0</v>
      </c>
      <c r="P27" s="246"/>
      <c r="Q27" s="256"/>
      <c r="R27" s="238" t="str">
        <f>A38</f>
        <v>c6.38</v>
      </c>
      <c r="S27" s="262">
        <f>MAX(0,S18-S24)</f>
        <v>0</v>
      </c>
      <c r="T27" s="246"/>
      <c r="U27" s="256"/>
      <c r="V27" s="238" t="str">
        <f>A48</f>
        <v>c6.48</v>
      </c>
      <c r="W27" s="262">
        <f>MAX(0,W18-W24)</f>
        <v>0</v>
      </c>
      <c r="Y27" s="101"/>
    </row>
    <row r="28" spans="1:25" x14ac:dyDescent="0.2">
      <c r="A28" s="216" t="s">
        <v>516</v>
      </c>
      <c r="H28" s="189"/>
      <c r="L28" s="189"/>
      <c r="P28" s="189"/>
      <c r="T28" s="189"/>
      <c r="Y28" s="101"/>
    </row>
    <row r="29" spans="1:25" x14ac:dyDescent="0.2">
      <c r="A29" s="216" t="s">
        <v>517</v>
      </c>
      <c r="H29" s="189"/>
      <c r="L29" s="189"/>
      <c r="N29" s="232"/>
      <c r="O29" s="264"/>
      <c r="P29" s="189"/>
      <c r="T29" s="189"/>
      <c r="Y29" s="101"/>
    </row>
    <row r="30" spans="1:25" x14ac:dyDescent="0.2">
      <c r="A30" s="216" t="s">
        <v>518</v>
      </c>
      <c r="C30" s="265"/>
      <c r="D30" s="241" t="s">
        <v>519</v>
      </c>
      <c r="E30" s="231"/>
      <c r="F30" s="231"/>
      <c r="G30" s="263"/>
      <c r="H30" s="189"/>
      <c r="J30" s="101"/>
      <c r="K30" s="245" t="str">
        <f>F31&amp;" minus "&amp;F42</f>
        <v>c6.5 minus c6.6</v>
      </c>
      <c r="L30" s="189"/>
      <c r="M30" s="101"/>
      <c r="N30" s="266"/>
      <c r="O30" s="267" t="str">
        <f>"minus ("&amp;F18&amp;" + "&amp;J18&amp;")"</f>
        <v>minus (c6.1 + c6.11)</v>
      </c>
      <c r="P30" s="189"/>
      <c r="R30" s="266"/>
      <c r="S30" s="267" t="str">
        <f>N31&amp;" minus "&amp;N42</f>
        <v>c6.27 minus c6.30</v>
      </c>
      <c r="T30" s="189"/>
      <c r="U30" s="268"/>
      <c r="V30" s="258"/>
      <c r="W30" s="104" t="str">
        <f>R31&amp;" minus "&amp;R42</f>
        <v>c6.39 minus c6.40</v>
      </c>
      <c r="Y30" s="101"/>
    </row>
    <row r="31" spans="1:25" x14ac:dyDescent="0.2">
      <c r="A31" s="216" t="s">
        <v>520</v>
      </c>
      <c r="D31" s="269" t="s">
        <v>521</v>
      </c>
      <c r="F31" s="239" t="str">
        <f>A5</f>
        <v>c6.5</v>
      </c>
      <c r="G31" s="87">
        <f>32000+'Stage 4'!I41</f>
        <v>32000</v>
      </c>
      <c r="H31" s="189"/>
      <c r="J31" s="239" t="str">
        <f>A15</f>
        <v>c6.15</v>
      </c>
      <c r="K31" s="270">
        <f>MAX(0,G31-G42-K24)</f>
        <v>32000</v>
      </c>
      <c r="L31" s="189"/>
      <c r="M31" s="101"/>
      <c r="N31" s="239" t="str">
        <f>A27</f>
        <v>c6.27</v>
      </c>
      <c r="O31" s="270">
        <f>MAX(0,(BR_band+'Stage 4'!I41)-(G18+K18))</f>
        <v>32000</v>
      </c>
      <c r="P31" s="189"/>
      <c r="Q31" s="101"/>
      <c r="R31" s="238" t="str">
        <f>A39</f>
        <v>c6.39</v>
      </c>
      <c r="S31" s="270">
        <f>MAX(0,O31-O42)</f>
        <v>32000</v>
      </c>
      <c r="T31" s="189"/>
      <c r="U31" s="271"/>
      <c r="V31" s="238" t="str">
        <f>A49</f>
        <v>c6.49</v>
      </c>
      <c r="W31" s="270">
        <f>MAX(0,S31-S42)</f>
        <v>32000</v>
      </c>
      <c r="X31" s="104"/>
      <c r="Y31" s="101"/>
    </row>
    <row r="32" spans="1:25" x14ac:dyDescent="0.2">
      <c r="A32" s="216" t="s">
        <v>522</v>
      </c>
      <c r="H32" s="189"/>
      <c r="L32" s="189"/>
      <c r="M32" s="101"/>
      <c r="P32" s="189"/>
      <c r="Q32" s="101"/>
      <c r="R32" s="101"/>
      <c r="S32" s="271"/>
      <c r="T32" s="189"/>
      <c r="U32" s="271"/>
      <c r="X32" s="104"/>
      <c r="Y32" s="101"/>
    </row>
    <row r="33" spans="1:25" x14ac:dyDescent="0.2">
      <c r="A33" s="216" t="s">
        <v>523</v>
      </c>
      <c r="C33" s="231"/>
      <c r="D33" s="231" t="s">
        <v>524</v>
      </c>
      <c r="H33" s="189"/>
      <c r="K33" s="272"/>
      <c r="L33" s="189"/>
      <c r="O33" s="272"/>
      <c r="P33" s="189"/>
      <c r="T33" s="189"/>
      <c r="V33" s="273"/>
      <c r="W33" s="263" t="str">
        <f>J34&amp;" minus "&amp;J38</f>
        <v>c6.16 minus c6.17</v>
      </c>
      <c r="X33" s="104"/>
      <c r="Y33" s="101"/>
    </row>
    <row r="34" spans="1:25" x14ac:dyDescent="0.2">
      <c r="A34" s="216" t="s">
        <v>525</v>
      </c>
      <c r="C34" s="231"/>
      <c r="D34" s="263" t="s">
        <v>143</v>
      </c>
      <c r="H34" s="189"/>
      <c r="J34" s="239" t="str">
        <f>A16</f>
        <v>c6.16</v>
      </c>
      <c r="K34" s="87">
        <f>'Stage 4'!M110</f>
        <v>1000</v>
      </c>
      <c r="L34" s="189"/>
      <c r="N34" s="239" t="str">
        <f>A28</f>
        <v>c6.28</v>
      </c>
      <c r="O34" s="270">
        <f>'Stage 4'!M112</f>
        <v>5000</v>
      </c>
      <c r="P34" s="189"/>
      <c r="T34" s="189"/>
      <c r="V34" s="239" t="str">
        <f>A50</f>
        <v>c6.50</v>
      </c>
      <c r="W34" s="87">
        <f>MAX(0,K34-K38)</f>
        <v>1000</v>
      </c>
      <c r="X34" s="104"/>
      <c r="Y34" s="101"/>
    </row>
    <row r="35" spans="1:25" x14ac:dyDescent="0.2">
      <c r="A35" s="216" t="s">
        <v>526</v>
      </c>
      <c r="H35" s="189"/>
      <c r="L35" s="189"/>
      <c r="P35" s="189"/>
      <c r="T35" s="189"/>
      <c r="V35" s="273"/>
      <c r="X35" s="104"/>
      <c r="Y35" s="101"/>
    </row>
    <row r="36" spans="1:25" x14ac:dyDescent="0.2">
      <c r="A36" s="216" t="s">
        <v>527</v>
      </c>
      <c r="H36" s="189"/>
      <c r="J36" s="231"/>
      <c r="K36" s="263"/>
      <c r="L36" s="189"/>
      <c r="P36" s="189"/>
      <c r="T36" s="189"/>
      <c r="Y36" s="101"/>
    </row>
    <row r="37" spans="1:25" ht="12" x14ac:dyDescent="0.25">
      <c r="A37" s="216" t="s">
        <v>528</v>
      </c>
      <c r="C37" s="274"/>
      <c r="D37" s="231" t="s">
        <v>524</v>
      </c>
      <c r="H37" s="189"/>
      <c r="J37" s="231"/>
      <c r="K37" s="263"/>
      <c r="L37" s="189"/>
      <c r="N37" s="231"/>
      <c r="O37" s="263" t="str">
        <f>"lower of "&amp;N18&amp;" and "&amp;N34</f>
        <v>lower of c6.23 and c6.28</v>
      </c>
      <c r="P37" s="189"/>
      <c r="T37" s="189"/>
      <c r="V37" s="273"/>
      <c r="W37" s="263" t="str">
        <f>"lower of "&amp;V18&amp;" and "&amp;V34</f>
        <v>lower of c6.45 and c6.50</v>
      </c>
      <c r="Y37" s="101"/>
    </row>
    <row r="38" spans="1:25" ht="12" x14ac:dyDescent="0.25">
      <c r="A38" s="216" t="s">
        <v>529</v>
      </c>
      <c r="C38" s="274"/>
      <c r="D38" s="86" t="s">
        <v>530</v>
      </c>
      <c r="H38" s="189"/>
      <c r="J38" s="260" t="str">
        <f>A17</f>
        <v>c6.17</v>
      </c>
      <c r="K38" s="87">
        <f>MIN(K18-K24,'Stage 4'!M110)</f>
        <v>0</v>
      </c>
      <c r="L38" s="189"/>
      <c r="N38" s="260" t="str">
        <f>A29</f>
        <v>c6.29</v>
      </c>
      <c r="O38" s="270">
        <f>MIN(O18,DTA)</f>
        <v>0</v>
      </c>
      <c r="P38" s="189"/>
      <c r="T38" s="189"/>
      <c r="V38" s="260" t="str">
        <f>A51</f>
        <v>c6.51</v>
      </c>
      <c r="W38" s="87">
        <f>MIN(W18,W34)</f>
        <v>0</v>
      </c>
      <c r="Y38" s="101"/>
    </row>
    <row r="39" spans="1:25" x14ac:dyDescent="0.2">
      <c r="A39" s="216" t="s">
        <v>531</v>
      </c>
      <c r="H39" s="189"/>
      <c r="L39" s="189"/>
      <c r="P39" s="189"/>
      <c r="T39" s="189"/>
      <c r="X39" s="101"/>
      <c r="Y39" s="101"/>
    </row>
    <row r="40" spans="1:25" x14ac:dyDescent="0.2">
      <c r="A40" s="216" t="s">
        <v>532</v>
      </c>
      <c r="H40" s="189"/>
      <c r="J40" s="231"/>
      <c r="K40" s="263"/>
      <c r="L40" s="189"/>
      <c r="M40" s="101"/>
      <c r="N40" s="232"/>
      <c r="O40" s="267"/>
      <c r="P40" s="189"/>
      <c r="T40" s="189"/>
      <c r="V40" s="242"/>
      <c r="W40" s="275"/>
      <c r="X40" s="101"/>
      <c r="Y40" s="101"/>
    </row>
    <row r="41" spans="1:25" x14ac:dyDescent="0.2">
      <c r="A41" s="216" t="s">
        <v>533</v>
      </c>
      <c r="G41" s="264"/>
      <c r="H41" s="189"/>
      <c r="J41" s="257"/>
      <c r="K41" s="245"/>
      <c r="L41" s="189"/>
      <c r="M41" s="101"/>
      <c r="N41" s="266"/>
      <c r="O41" s="267"/>
      <c r="P41" s="189"/>
      <c r="Q41" s="101"/>
      <c r="S41" s="104"/>
      <c r="T41" s="189"/>
      <c r="U41" s="101"/>
      <c r="V41" s="242"/>
      <c r="W41" s="243"/>
      <c r="Y41" s="101"/>
    </row>
    <row r="42" spans="1:25" ht="12" x14ac:dyDescent="0.25">
      <c r="A42" s="216" t="s">
        <v>534</v>
      </c>
      <c r="D42" s="237" t="s">
        <v>535</v>
      </c>
      <c r="E42" s="241"/>
      <c r="F42" s="260" t="str">
        <f>A6</f>
        <v>c6.6</v>
      </c>
      <c r="G42" s="87">
        <f>MAX(0,MIN(G27,G31))</f>
        <v>0</v>
      </c>
      <c r="H42" s="189"/>
      <c r="J42" s="260" t="str">
        <f>A18</f>
        <v>c6.18</v>
      </c>
      <c r="K42" s="87">
        <f>MAX(0,MIN(K27,K31)-K38)</f>
        <v>0</v>
      </c>
      <c r="L42" s="189"/>
      <c r="M42" s="101"/>
      <c r="N42" s="259" t="str">
        <f>A30</f>
        <v>c6.30</v>
      </c>
      <c r="O42" s="87">
        <f>MAX(0,MIN(O18,O31)-O38)</f>
        <v>0</v>
      </c>
      <c r="P42" s="189"/>
      <c r="R42" s="259" t="str">
        <f>A40</f>
        <v>c6.40</v>
      </c>
      <c r="S42" s="262">
        <f>MIN(S27,S31)</f>
        <v>0</v>
      </c>
      <c r="T42" s="189"/>
      <c r="V42" s="276" t="str">
        <f>A52</f>
        <v>c6.52</v>
      </c>
      <c r="W42" s="251">
        <f>MAX(0,MIN(W27,W31)-W38-W24)</f>
        <v>0</v>
      </c>
      <c r="X42" s="101"/>
      <c r="Y42" s="101"/>
    </row>
    <row r="43" spans="1:25" x14ac:dyDescent="0.2">
      <c r="A43" s="216" t="s">
        <v>536</v>
      </c>
      <c r="H43" s="189"/>
      <c r="K43" s="101"/>
      <c r="L43" s="189"/>
      <c r="M43" s="101"/>
      <c r="P43" s="189"/>
      <c r="T43" s="189"/>
      <c r="Y43" s="101"/>
    </row>
    <row r="44" spans="1:25" x14ac:dyDescent="0.2">
      <c r="A44" s="216" t="s">
        <v>537</v>
      </c>
      <c r="G44" s="245"/>
      <c r="H44" s="189"/>
      <c r="J44" s="101"/>
      <c r="K44" s="245"/>
      <c r="L44" s="189"/>
      <c r="M44" s="101"/>
      <c r="N44" s="232"/>
      <c r="O44" s="267"/>
      <c r="P44" s="189"/>
      <c r="S44" s="104"/>
      <c r="T44" s="189"/>
      <c r="V44" s="273"/>
      <c r="W44" s="245"/>
      <c r="Y44" s="101"/>
    </row>
    <row r="45" spans="1:25" x14ac:dyDescent="0.2">
      <c r="A45" s="216" t="s">
        <v>538</v>
      </c>
      <c r="B45" s="231"/>
      <c r="C45" s="231"/>
      <c r="D45" s="263" t="s">
        <v>539</v>
      </c>
      <c r="F45" s="239" t="str">
        <f>A7</f>
        <v>c6.7</v>
      </c>
      <c r="G45" s="87">
        <f>MAX(0,G27-G42)</f>
        <v>0</v>
      </c>
      <c r="H45" s="189"/>
      <c r="J45" s="239" t="str">
        <f>A19</f>
        <v>c6.19</v>
      </c>
      <c r="K45" s="262">
        <f>MAX(0,K27-(K38+K42))</f>
        <v>0</v>
      </c>
      <c r="L45" s="189"/>
      <c r="M45" s="101"/>
      <c r="N45" s="238" t="str">
        <f>A31</f>
        <v>c6.31</v>
      </c>
      <c r="O45" s="87">
        <f>MAX(0,O18-(O38+O42))</f>
        <v>0</v>
      </c>
      <c r="P45" s="189"/>
      <c r="R45" s="238" t="str">
        <f>A41</f>
        <v>c6.41</v>
      </c>
      <c r="S45" s="262">
        <f>MAX(0,S27-S42)</f>
        <v>0</v>
      </c>
      <c r="T45" s="189"/>
      <c r="V45" s="239" t="str">
        <f>A53</f>
        <v>c6.53</v>
      </c>
      <c r="W45" s="87">
        <f>MAX(0,W27-(W38+W42))</f>
        <v>0</v>
      </c>
      <c r="X45" s="101"/>
      <c r="Y45" s="101"/>
    </row>
    <row r="46" spans="1:25" x14ac:dyDescent="0.2">
      <c r="A46" s="216" t="s">
        <v>540</v>
      </c>
      <c r="H46" s="189"/>
      <c r="L46" s="189"/>
      <c r="M46" s="101"/>
      <c r="P46" s="189"/>
      <c r="T46" s="189"/>
      <c r="X46" s="101"/>
      <c r="Y46" s="101"/>
    </row>
    <row r="47" spans="1:25" x14ac:dyDescent="0.2">
      <c r="A47" s="216" t="s">
        <v>541</v>
      </c>
      <c r="D47" s="241" t="s">
        <v>542</v>
      </c>
      <c r="G47" s="263"/>
      <c r="H47" s="189"/>
      <c r="K47" s="245"/>
      <c r="L47" s="189"/>
      <c r="M47" s="101"/>
      <c r="O47" s="245"/>
      <c r="P47" s="189"/>
      <c r="S47" s="104"/>
      <c r="T47" s="189"/>
      <c r="W47" s="245"/>
      <c r="X47" s="101"/>
      <c r="Y47" s="101"/>
    </row>
    <row r="48" spans="1:25" ht="12" x14ac:dyDescent="0.25">
      <c r="A48" s="216" t="s">
        <v>543</v>
      </c>
      <c r="D48" s="241" t="s">
        <v>544</v>
      </c>
      <c r="F48" s="239" t="str">
        <f>A8</f>
        <v>c6.8</v>
      </c>
      <c r="G48" s="98">
        <f>HR_band</f>
        <v>118000</v>
      </c>
      <c r="H48" s="189"/>
      <c r="J48" s="239" t="str">
        <f>A20</f>
        <v>c6.20</v>
      </c>
      <c r="K48" s="270">
        <f>MAX(0,G48-G52)</f>
        <v>118000</v>
      </c>
      <c r="L48" s="189"/>
      <c r="M48" s="101"/>
      <c r="N48" s="238" t="str">
        <f>A32</f>
        <v>c6.32</v>
      </c>
      <c r="O48" s="270">
        <f>MAX(0,K48-K52)</f>
        <v>118000</v>
      </c>
      <c r="P48" s="189"/>
      <c r="R48" s="238" t="str">
        <f>A42</f>
        <v>c6.42</v>
      </c>
      <c r="S48" s="270">
        <f>MAX(0,O48-O52)</f>
        <v>118000</v>
      </c>
      <c r="T48" s="189"/>
      <c r="V48" s="239" t="str">
        <f>A54</f>
        <v>c6.54</v>
      </c>
      <c r="W48" s="270">
        <f>MAX(0,S48-S52)</f>
        <v>118000</v>
      </c>
      <c r="X48" s="101"/>
      <c r="Y48" s="101"/>
    </row>
    <row r="49" spans="1:25" x14ac:dyDescent="0.2">
      <c r="A49" s="216" t="s">
        <v>545</v>
      </c>
      <c r="H49" s="189"/>
      <c r="L49" s="189"/>
      <c r="M49" s="101"/>
      <c r="N49" s="101"/>
      <c r="P49" s="189"/>
      <c r="R49" s="101"/>
      <c r="T49" s="189"/>
      <c r="V49" s="101"/>
      <c r="X49" s="101"/>
      <c r="Y49" s="101"/>
    </row>
    <row r="50" spans="1:25" x14ac:dyDescent="0.2">
      <c r="A50" s="216" t="s">
        <v>546</v>
      </c>
      <c r="H50" s="189"/>
      <c r="L50" s="189"/>
      <c r="M50" s="101"/>
      <c r="N50" s="277"/>
      <c r="O50" s="243"/>
      <c r="P50" s="189"/>
      <c r="R50" s="101"/>
      <c r="T50" s="189"/>
      <c r="X50" s="101"/>
      <c r="Y50" s="101"/>
    </row>
    <row r="51" spans="1:25" ht="11.4" customHeight="1" x14ac:dyDescent="0.2">
      <c r="A51" s="216" t="s">
        <v>547</v>
      </c>
      <c r="F51" s="231"/>
      <c r="G51" s="245"/>
      <c r="H51" s="189"/>
      <c r="K51" s="245"/>
      <c r="L51" s="189"/>
      <c r="M51" s="101"/>
      <c r="N51" s="242"/>
      <c r="O51" s="278"/>
      <c r="P51" s="189"/>
      <c r="S51" s="104"/>
      <c r="T51" s="189"/>
      <c r="V51" s="101"/>
      <c r="W51" s="245"/>
      <c r="X51" s="101"/>
      <c r="Y51" s="101"/>
    </row>
    <row r="52" spans="1:25" ht="12" x14ac:dyDescent="0.25">
      <c r="A52" s="216" t="s">
        <v>548</v>
      </c>
      <c r="D52" s="237" t="s">
        <v>549</v>
      </c>
      <c r="F52" s="260" t="str">
        <f>A9</f>
        <v>c6.9</v>
      </c>
      <c r="G52" s="87">
        <f>MIN(G45,G48)</f>
        <v>0</v>
      </c>
      <c r="H52" s="189"/>
      <c r="J52" s="260" t="str">
        <f>A21</f>
        <v>c6.21</v>
      </c>
      <c r="K52" s="87">
        <f>MIN(K45,K48)</f>
        <v>0</v>
      </c>
      <c r="L52" s="189"/>
      <c r="M52" s="101"/>
      <c r="N52" s="276" t="str">
        <f>A33</f>
        <v>c6.33</v>
      </c>
      <c r="O52" s="251">
        <f>MAX(0,MIN(O45,O48-O38+MIN(O31,O34)))</f>
        <v>0</v>
      </c>
      <c r="P52" s="189"/>
      <c r="R52" s="259" t="str">
        <f>A43</f>
        <v>c6.43</v>
      </c>
      <c r="S52" s="87">
        <f>MIN(S45,S48)</f>
        <v>0</v>
      </c>
      <c r="T52" s="189"/>
      <c r="V52" s="260" t="str">
        <f>A55</f>
        <v>c6.55</v>
      </c>
      <c r="W52" s="87">
        <f>MIN(W45,W48)</f>
        <v>0</v>
      </c>
      <c r="X52" s="101"/>
      <c r="Y52" s="101"/>
    </row>
    <row r="53" spans="1:25" x14ac:dyDescent="0.2">
      <c r="A53" s="216" t="s">
        <v>550</v>
      </c>
      <c r="H53" s="189"/>
      <c r="L53" s="189"/>
      <c r="M53" s="101"/>
      <c r="N53" s="101"/>
      <c r="P53" s="189"/>
      <c r="R53" s="101"/>
      <c r="T53" s="189"/>
      <c r="V53" s="101"/>
      <c r="X53" s="101"/>
      <c r="Y53" s="101"/>
    </row>
    <row r="54" spans="1:25" x14ac:dyDescent="0.2">
      <c r="A54" s="216" t="s">
        <v>551</v>
      </c>
      <c r="G54" s="245"/>
      <c r="H54" s="189"/>
      <c r="K54" s="245"/>
      <c r="L54" s="189"/>
      <c r="M54" s="101"/>
      <c r="N54" s="101"/>
      <c r="O54" s="104"/>
      <c r="P54" s="189"/>
      <c r="R54" s="101"/>
      <c r="S54" s="104"/>
      <c r="T54" s="189"/>
      <c r="V54" s="101"/>
      <c r="W54" s="245"/>
      <c r="X54" s="101"/>
      <c r="Y54" s="101"/>
    </row>
    <row r="55" spans="1:25" ht="12" x14ac:dyDescent="0.25">
      <c r="A55" s="216" t="s">
        <v>552</v>
      </c>
      <c r="D55" s="237" t="s">
        <v>553</v>
      </c>
      <c r="F55" s="260" t="str">
        <f>A10</f>
        <v>c6.10</v>
      </c>
      <c r="G55" s="87">
        <f>MAX(0,G45-G52)</f>
        <v>0</v>
      </c>
      <c r="H55" s="189"/>
      <c r="J55" s="260" t="str">
        <f>A22</f>
        <v>c6.22</v>
      </c>
      <c r="K55" s="87">
        <f>MAX(0,K45-K52)</f>
        <v>0</v>
      </c>
      <c r="L55" s="189"/>
      <c r="M55" s="101"/>
      <c r="N55" s="259" t="str">
        <f>A34</f>
        <v>c6.34</v>
      </c>
      <c r="O55" s="87">
        <f>MAX(0,O45-O52)</f>
        <v>0</v>
      </c>
      <c r="P55" s="189"/>
      <c r="R55" s="259" t="str">
        <f>A44</f>
        <v>c6.44</v>
      </c>
      <c r="S55" s="87">
        <f>MAX(0,S45-S52)</f>
        <v>0</v>
      </c>
      <c r="T55" s="189"/>
      <c r="V55" s="260" t="str">
        <f>A56</f>
        <v>c6.56</v>
      </c>
      <c r="W55" s="87">
        <f>MAX(0,W45-W52)</f>
        <v>0</v>
      </c>
      <c r="X55" s="101"/>
      <c r="Y55" s="101"/>
    </row>
    <row r="56" spans="1:25" x14ac:dyDescent="0.2">
      <c r="A56" s="216" t="s">
        <v>554</v>
      </c>
      <c r="S56" s="101"/>
      <c r="T56" s="101"/>
      <c r="U56" s="101"/>
      <c r="X56" s="101"/>
      <c r="Y56" s="101"/>
    </row>
    <row r="57" spans="1:25" x14ac:dyDescent="0.2">
      <c r="A57" s="216" t="s">
        <v>555</v>
      </c>
      <c r="S57" s="101"/>
      <c r="T57" s="101"/>
      <c r="U57" s="101"/>
      <c r="X57" s="101"/>
      <c r="Y57" s="101"/>
    </row>
    <row r="58" spans="1:25" x14ac:dyDescent="0.2">
      <c r="A58" s="216" t="s">
        <v>556</v>
      </c>
      <c r="X58" s="101"/>
      <c r="Y58" s="101"/>
    </row>
    <row r="59" spans="1:25" x14ac:dyDescent="0.2">
      <c r="A59" s="216" t="s">
        <v>557</v>
      </c>
      <c r="X59" s="101"/>
      <c r="Y59" s="101"/>
    </row>
    <row r="60" spans="1:25" x14ac:dyDescent="0.2">
      <c r="A60" s="216" t="s">
        <v>558</v>
      </c>
      <c r="X60" s="101"/>
      <c r="Y60" s="101"/>
    </row>
    <row r="61" spans="1:25" x14ac:dyDescent="0.2">
      <c r="X61" s="101"/>
      <c r="Y61" s="101"/>
    </row>
    <row r="62" spans="1:25" x14ac:dyDescent="0.2">
      <c r="X62" s="101"/>
      <c r="Y62" s="101"/>
    </row>
    <row r="63" spans="1:25" x14ac:dyDescent="0.2">
      <c r="X63" s="101"/>
      <c r="Y63" s="101"/>
    </row>
    <row r="64" spans="1:25" x14ac:dyDescent="0.2">
      <c r="X64" s="101"/>
      <c r="Y64" s="101"/>
    </row>
    <row r="65" spans="18:25" x14ac:dyDescent="0.2">
      <c r="X65" s="101"/>
      <c r="Y65" s="101"/>
    </row>
    <row r="66" spans="18:25" x14ac:dyDescent="0.2">
      <c r="X66" s="101"/>
      <c r="Y66" s="101"/>
    </row>
    <row r="67" spans="18:25" x14ac:dyDescent="0.2">
      <c r="X67" s="101"/>
      <c r="Y67" s="101"/>
    </row>
    <row r="68" spans="18:25" x14ac:dyDescent="0.2">
      <c r="X68" s="104"/>
      <c r="Y68" s="101"/>
    </row>
    <row r="70" spans="18:25" x14ac:dyDescent="0.2">
      <c r="R70" s="101"/>
    </row>
    <row r="71" spans="18:25" x14ac:dyDescent="0.2">
      <c r="R71" s="101"/>
    </row>
    <row r="72" spans="18:25" x14ac:dyDescent="0.2">
      <c r="R72" s="101"/>
    </row>
    <row r="74" spans="18:25" x14ac:dyDescent="0.2">
      <c r="R74" s="10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74"/>
  <sheetViews>
    <sheetView showGridLines="0" topLeftCell="B1" zoomScaleNormal="100" workbookViewId="0">
      <selection activeCell="K21" sqref="K21"/>
    </sheetView>
  </sheetViews>
  <sheetFormatPr defaultColWidth="8.88671875" defaultRowHeight="11.4" x14ac:dyDescent="0.2"/>
  <cols>
    <col min="1" max="1" width="3.44140625" style="190" hidden="1" customWidth="1"/>
    <col min="2" max="2" width="8.33203125" style="190" customWidth="1"/>
    <col min="3" max="3" width="6" style="190" customWidth="1"/>
    <col min="4" max="4" width="14" style="190" customWidth="1"/>
    <col min="5" max="5" width="2.33203125" style="190" customWidth="1"/>
    <col min="6" max="6" width="5.5546875" style="190" customWidth="1"/>
    <col min="7" max="7" width="18.5546875" style="190" customWidth="1"/>
    <col min="8" max="9" width="2.109375" style="190" customWidth="1"/>
    <col min="10" max="10" width="5.5546875" style="190" customWidth="1"/>
    <col min="11" max="11" width="18.5546875" style="190" customWidth="1"/>
    <col min="12" max="12" width="3.44140625" style="190" customWidth="1"/>
    <col min="13" max="13" width="2.33203125" style="190" customWidth="1"/>
    <col min="14" max="14" width="5.5546875" style="190" customWidth="1"/>
    <col min="15" max="15" width="24.109375" style="190" customWidth="1"/>
    <col min="16" max="16" width="1.88671875" style="190" customWidth="1"/>
    <col min="17" max="17" width="2.5546875" style="190" customWidth="1"/>
    <col min="18" max="18" width="5.5546875" style="190" customWidth="1"/>
    <col min="19" max="19" width="18.5546875" style="190" customWidth="1"/>
    <col min="20" max="20" width="2.5546875" style="190" customWidth="1"/>
    <col min="21" max="21" width="2.6640625" style="190" customWidth="1"/>
    <col min="22" max="22" width="5.5546875" style="190" customWidth="1"/>
    <col min="23" max="23" width="18.5546875" style="190" customWidth="1"/>
    <col min="24" max="24" width="2.33203125" style="190" customWidth="1"/>
    <col min="25" max="16384" width="8.88671875" style="190"/>
  </cols>
  <sheetData>
    <row r="1" spans="1:25" ht="17.399999999999999" x14ac:dyDescent="0.3">
      <c r="A1" s="216" t="s">
        <v>471</v>
      </c>
      <c r="B1" s="217" t="s">
        <v>472</v>
      </c>
      <c r="J1" s="218" t="s">
        <v>333</v>
      </c>
      <c r="K1" s="219"/>
      <c r="L1" s="219"/>
      <c r="M1" s="219"/>
      <c r="N1" s="219"/>
      <c r="O1" s="220"/>
      <c r="Q1" s="101"/>
    </row>
    <row r="2" spans="1:25" x14ac:dyDescent="0.2">
      <c r="A2" s="216" t="s">
        <v>473</v>
      </c>
    </row>
    <row r="3" spans="1:25" x14ac:dyDescent="0.2">
      <c r="A3" s="216" t="s">
        <v>474</v>
      </c>
      <c r="J3" s="221"/>
      <c r="K3" s="222" t="s">
        <v>74</v>
      </c>
    </row>
    <row r="4" spans="1:25" ht="12" x14ac:dyDescent="0.25">
      <c r="A4" s="216" t="s">
        <v>475</v>
      </c>
      <c r="B4" s="223" t="s">
        <v>73</v>
      </c>
      <c r="J4" s="224" t="s">
        <v>476</v>
      </c>
      <c r="K4" s="225">
        <v>27000</v>
      </c>
    </row>
    <row r="5" spans="1:25" x14ac:dyDescent="0.2">
      <c r="A5" s="216" t="s">
        <v>476</v>
      </c>
    </row>
    <row r="6" spans="1:25" x14ac:dyDescent="0.2">
      <c r="A6" s="216" t="s">
        <v>477</v>
      </c>
      <c r="C6" s="226"/>
      <c r="D6" s="227" t="str">
        <f>" Boxes "&amp;A5&amp;" to "&amp;A7&amp;" not used (see boxes "&amp;'[1]Deductions (c4)'!D155&amp;" to "&amp;'[1]Deductions (c4)'!H162&amp;")"</f>
        <v xml:space="preserve"> Boxes c6.5 to c6.7 not used (see boxes c4.56 to c4.59)</v>
      </c>
      <c r="E6" s="228"/>
      <c r="F6" s="228"/>
      <c r="G6" s="228"/>
      <c r="H6" s="228"/>
      <c r="I6" s="228"/>
      <c r="J6" s="228"/>
      <c r="K6" s="229"/>
    </row>
    <row r="7" spans="1:25" x14ac:dyDescent="0.2">
      <c r="A7" s="216" t="s">
        <v>478</v>
      </c>
    </row>
    <row r="8" spans="1:25" ht="13.2" x14ac:dyDescent="0.25">
      <c r="A8" s="216" t="s">
        <v>479</v>
      </c>
      <c r="B8" s="230" t="s">
        <v>604</v>
      </c>
      <c r="C8" s="231"/>
      <c r="D8" s="231"/>
      <c r="E8" s="231"/>
      <c r="F8" s="231"/>
      <c r="G8" s="231"/>
      <c r="H8" s="231"/>
      <c r="I8" s="231"/>
      <c r="J8" s="231"/>
      <c r="K8" s="231"/>
      <c r="L8" s="231"/>
      <c r="M8" s="231"/>
      <c r="N8" s="231"/>
      <c r="O8" s="231"/>
      <c r="P8" s="231"/>
    </row>
    <row r="9" spans="1:25" x14ac:dyDescent="0.2">
      <c r="A9" s="216" t="s">
        <v>480</v>
      </c>
      <c r="B9" s="231" t="s">
        <v>605</v>
      </c>
      <c r="C9" s="231"/>
      <c r="D9" s="231"/>
      <c r="E9" s="231"/>
      <c r="F9" s="231"/>
      <c r="G9" s="231"/>
      <c r="H9" s="231"/>
      <c r="I9" s="231"/>
      <c r="J9" s="231"/>
      <c r="K9" s="231"/>
      <c r="L9" s="231"/>
      <c r="M9" s="231"/>
      <c r="N9" s="231"/>
      <c r="O9" s="231"/>
      <c r="P9" s="231"/>
    </row>
    <row r="10" spans="1:25" x14ac:dyDescent="0.2">
      <c r="A10" s="216" t="s">
        <v>481</v>
      </c>
      <c r="B10" s="232" t="s">
        <v>482</v>
      </c>
      <c r="C10" s="232"/>
      <c r="D10" s="232"/>
      <c r="E10" s="232"/>
      <c r="F10" s="232"/>
      <c r="G10" s="232"/>
      <c r="H10" s="232"/>
      <c r="I10" s="232"/>
      <c r="J10" s="232"/>
      <c r="K10" s="232"/>
      <c r="L10" s="232"/>
      <c r="M10" s="232"/>
      <c r="N10" s="232"/>
      <c r="O10" s="232"/>
      <c r="P10" s="232"/>
      <c r="Q10" s="232"/>
      <c r="R10" s="232"/>
      <c r="S10" s="232"/>
      <c r="X10" s="101"/>
    </row>
    <row r="11" spans="1:25" x14ac:dyDescent="0.2">
      <c r="A11" s="216" t="s">
        <v>483</v>
      </c>
    </row>
    <row r="12" spans="1:25" s="181" customFormat="1" ht="12" x14ac:dyDescent="0.25">
      <c r="A12" s="233" t="s">
        <v>484</v>
      </c>
      <c r="F12" s="223" t="s">
        <v>485</v>
      </c>
      <c r="H12" s="168"/>
      <c r="J12" s="234" t="s">
        <v>486</v>
      </c>
      <c r="L12" s="168"/>
      <c r="O12" s="235" t="s">
        <v>487</v>
      </c>
      <c r="P12" s="168"/>
      <c r="R12" s="234" t="s">
        <v>488</v>
      </c>
      <c r="T12" s="168"/>
      <c r="V12" s="234" t="s">
        <v>489</v>
      </c>
    </row>
    <row r="13" spans="1:25" s="181" customFormat="1" ht="12" x14ac:dyDescent="0.25">
      <c r="A13" s="233" t="s">
        <v>490</v>
      </c>
      <c r="F13" s="181" t="s">
        <v>491</v>
      </c>
      <c r="H13" s="168"/>
      <c r="J13" s="181" t="s">
        <v>492</v>
      </c>
      <c r="L13" s="168"/>
      <c r="P13" s="168"/>
      <c r="R13" s="181" t="s">
        <v>493</v>
      </c>
      <c r="T13" s="168"/>
      <c r="V13" s="181" t="s">
        <v>494</v>
      </c>
      <c r="X13" s="234"/>
      <c r="Y13" s="234"/>
    </row>
    <row r="14" spans="1:25" s="181" customFormat="1" ht="12" x14ac:dyDescent="0.25">
      <c r="A14" s="233" t="s">
        <v>495</v>
      </c>
      <c r="H14" s="168"/>
      <c r="J14" s="181" t="s">
        <v>496</v>
      </c>
      <c r="L14" s="168"/>
      <c r="M14" s="235"/>
      <c r="P14" s="168"/>
      <c r="T14" s="168"/>
      <c r="V14" s="181" t="s">
        <v>497</v>
      </c>
      <c r="X14" s="234"/>
      <c r="Y14" s="234"/>
    </row>
    <row r="15" spans="1:25" s="181" customFormat="1" ht="12" x14ac:dyDescent="0.25">
      <c r="A15" s="233" t="s">
        <v>498</v>
      </c>
      <c r="H15" s="168"/>
      <c r="J15" s="181" t="s">
        <v>499</v>
      </c>
      <c r="L15" s="168"/>
      <c r="M15" s="236"/>
      <c r="P15" s="168"/>
      <c r="T15" s="168"/>
      <c r="Y15" s="234"/>
    </row>
    <row r="16" spans="1:25" x14ac:dyDescent="0.2">
      <c r="A16" s="216" t="s">
        <v>500</v>
      </c>
      <c r="H16" s="189"/>
      <c r="L16" s="189"/>
      <c r="P16" s="189"/>
      <c r="T16" s="189"/>
      <c r="Y16" s="101"/>
    </row>
    <row r="17" spans="1:25" x14ac:dyDescent="0.2">
      <c r="A17" s="216" t="s">
        <v>501</v>
      </c>
      <c r="G17" s="192"/>
      <c r="H17" s="189"/>
      <c r="K17" s="192"/>
      <c r="L17" s="189"/>
      <c r="M17" s="104"/>
      <c r="N17" s="101"/>
      <c r="O17" s="192"/>
      <c r="P17" s="189"/>
      <c r="S17" s="192"/>
      <c r="T17" s="189"/>
      <c r="U17" s="104"/>
      <c r="V17" s="101"/>
      <c r="W17" s="192"/>
      <c r="X17" s="104"/>
      <c r="Y17" s="101"/>
    </row>
    <row r="18" spans="1:25" ht="12" x14ac:dyDescent="0.25">
      <c r="A18" s="216" t="s">
        <v>502</v>
      </c>
      <c r="D18" s="237" t="s">
        <v>503</v>
      </c>
      <c r="F18" s="238" t="str">
        <f>A1</f>
        <v>c6.1</v>
      </c>
      <c r="G18" s="87">
        <f>'Stage 5'!AL57+'Stage 5'!AL113</f>
        <v>0</v>
      </c>
      <c r="H18" s="189"/>
      <c r="J18" s="239" t="str">
        <f>A11</f>
        <v>c6.11</v>
      </c>
      <c r="K18" s="96">
        <f>'Stage 5'!AL72</f>
        <v>0</v>
      </c>
      <c r="L18" s="189"/>
      <c r="M18" s="240"/>
      <c r="N18" s="239" t="str">
        <f>A23</f>
        <v>c6.23</v>
      </c>
      <c r="O18" s="96">
        <f>'Stage 5'!AL85+'Stage 5'!AL93+'Stage 5'!AL102</f>
        <v>0</v>
      </c>
      <c r="P18" s="189"/>
      <c r="R18" s="238" t="str">
        <f>A35</f>
        <v>c6.35</v>
      </c>
      <c r="S18" s="87">
        <f>'Stage 5'!AL64+'Stage 5'!AL118</f>
        <v>0</v>
      </c>
      <c r="T18" s="189"/>
      <c r="V18" s="238" t="str">
        <f>A45</f>
        <v>c6.45</v>
      </c>
      <c r="W18" s="96">
        <f>'Stage 5'!AL108</f>
        <v>0</v>
      </c>
      <c r="X18" s="104"/>
      <c r="Y18" s="101"/>
    </row>
    <row r="19" spans="1:25" x14ac:dyDescent="0.2">
      <c r="A19" s="216" t="s">
        <v>504</v>
      </c>
      <c r="H19" s="189"/>
      <c r="J19" s="101"/>
      <c r="L19" s="189"/>
      <c r="P19" s="189"/>
      <c r="T19" s="189"/>
      <c r="X19" s="101"/>
      <c r="Y19" s="101"/>
    </row>
    <row r="20" spans="1:25" x14ac:dyDescent="0.2">
      <c r="A20" s="216" t="s">
        <v>505</v>
      </c>
      <c r="G20" s="241"/>
      <c r="H20" s="189"/>
      <c r="J20" s="242"/>
      <c r="K20" s="243"/>
      <c r="L20" s="189"/>
      <c r="M20" s="244"/>
      <c r="N20" s="101"/>
      <c r="O20" s="245"/>
      <c r="P20" s="246"/>
      <c r="Q20" s="244"/>
      <c r="R20" s="247"/>
      <c r="S20" s="245"/>
      <c r="T20" s="246"/>
      <c r="U20" s="244"/>
      <c r="V20" s="248"/>
      <c r="W20" s="243"/>
      <c r="X20" s="101"/>
      <c r="Y20" s="101"/>
    </row>
    <row r="21" spans="1:25" ht="12" x14ac:dyDescent="0.25">
      <c r="A21" s="216" t="s">
        <v>506</v>
      </c>
      <c r="D21" s="241" t="s">
        <v>507</v>
      </c>
      <c r="E21" s="235"/>
      <c r="F21" s="238" t="str">
        <f>A2</f>
        <v>c6.2</v>
      </c>
      <c r="G21" s="249">
        <f>SR_band</f>
        <v>5000</v>
      </c>
      <c r="H21" s="189"/>
      <c r="J21" s="250" t="str">
        <f>A12</f>
        <v>c6.12</v>
      </c>
      <c r="K21" s="251">
        <f>MAX(0,G21-G24)</f>
        <v>5000</v>
      </c>
      <c r="L21" s="189"/>
      <c r="M21" s="252"/>
      <c r="N21" s="239" t="str">
        <f>A24</f>
        <v>c6.24</v>
      </c>
      <c r="O21" s="253">
        <f>MAX(0,K21-K24)</f>
        <v>5000</v>
      </c>
      <c r="P21" s="246"/>
      <c r="Q21" s="252"/>
      <c r="R21" s="238" t="str">
        <f>A36</f>
        <v>c6.36</v>
      </c>
      <c r="S21" s="254">
        <f>MAX(0,O21-O24)</f>
        <v>5000</v>
      </c>
      <c r="T21" s="246"/>
      <c r="U21" s="252"/>
      <c r="V21" s="250" t="str">
        <f>A46</f>
        <v>c6.46</v>
      </c>
      <c r="W21" s="255">
        <f>MAX(0,S21-S24)</f>
        <v>5000</v>
      </c>
      <c r="X21" s="101"/>
      <c r="Y21" s="101"/>
    </row>
    <row r="22" spans="1:25" x14ac:dyDescent="0.2">
      <c r="A22" s="216" t="s">
        <v>508</v>
      </c>
      <c r="H22" s="189"/>
      <c r="J22" s="101"/>
      <c r="L22" s="189"/>
      <c r="M22" s="256"/>
      <c r="P22" s="246"/>
      <c r="Q22" s="256"/>
      <c r="T22" s="246"/>
      <c r="U22" s="256"/>
      <c r="X22" s="101"/>
      <c r="Y22" s="101"/>
    </row>
    <row r="23" spans="1:25" x14ac:dyDescent="0.2">
      <c r="A23" s="216" t="s">
        <v>509</v>
      </c>
      <c r="G23" s="104"/>
      <c r="H23" s="189"/>
      <c r="K23" s="245"/>
      <c r="L23" s="189"/>
      <c r="M23" s="247"/>
      <c r="N23" s="257"/>
      <c r="O23" s="245"/>
      <c r="P23" s="246"/>
      <c r="Q23" s="247"/>
      <c r="R23" s="101"/>
      <c r="S23" s="104"/>
      <c r="T23" s="246"/>
      <c r="U23" s="247"/>
      <c r="V23" s="258"/>
      <c r="W23" s="104"/>
      <c r="X23" s="101"/>
      <c r="Y23" s="101"/>
    </row>
    <row r="24" spans="1:25" ht="12" x14ac:dyDescent="0.25">
      <c r="A24" s="216" t="s">
        <v>510</v>
      </c>
      <c r="D24" s="237" t="s">
        <v>511</v>
      </c>
      <c r="E24" s="241"/>
      <c r="F24" s="259" t="str">
        <f>A3</f>
        <v>c6.3</v>
      </c>
      <c r="G24" s="87">
        <f>MIN(G18,G21)</f>
        <v>0</v>
      </c>
      <c r="H24" s="189"/>
      <c r="J24" s="260" t="str">
        <f>A13</f>
        <v>c6.13</v>
      </c>
      <c r="K24" s="87">
        <f>MIN(K18,K21)</f>
        <v>0</v>
      </c>
      <c r="L24" s="189"/>
      <c r="M24" s="247"/>
      <c r="N24" s="261" t="str">
        <f>A25</f>
        <v>c6.25</v>
      </c>
      <c r="O24" s="87">
        <f>MIN(O21,O18)</f>
        <v>0</v>
      </c>
      <c r="P24" s="246"/>
      <c r="Q24" s="247"/>
      <c r="R24" s="259" t="str">
        <f>A37</f>
        <v>c6.37</v>
      </c>
      <c r="S24" s="262">
        <f>MIN(S21,S18)</f>
        <v>0</v>
      </c>
      <c r="T24" s="246"/>
      <c r="U24" s="247"/>
      <c r="V24" s="259" t="str">
        <f>A47</f>
        <v>c6.47</v>
      </c>
      <c r="W24" s="262">
        <f>MIN(W21,W18)</f>
        <v>0</v>
      </c>
      <c r="X24" s="101"/>
      <c r="Y24" s="101"/>
    </row>
    <row r="25" spans="1:25" x14ac:dyDescent="0.2">
      <c r="A25" s="216" t="s">
        <v>512</v>
      </c>
      <c r="H25" s="189"/>
      <c r="L25" s="189"/>
      <c r="M25" s="256"/>
      <c r="P25" s="246"/>
      <c r="Q25" s="101"/>
      <c r="R25" s="101"/>
      <c r="T25" s="189"/>
      <c r="X25" s="101"/>
      <c r="Y25" s="101"/>
    </row>
    <row r="26" spans="1:25" x14ac:dyDescent="0.2">
      <c r="A26" s="216" t="s">
        <v>513</v>
      </c>
      <c r="F26" s="101"/>
      <c r="G26" s="104"/>
      <c r="H26" s="189"/>
      <c r="K26" s="245"/>
      <c r="L26" s="189"/>
      <c r="M26" s="256"/>
      <c r="O26" s="245"/>
      <c r="P26" s="246"/>
      <c r="Q26" s="256"/>
      <c r="S26" s="104"/>
      <c r="T26" s="246"/>
      <c r="U26" s="256"/>
      <c r="W26" s="104"/>
      <c r="X26" s="101"/>
      <c r="Y26" s="101"/>
    </row>
    <row r="27" spans="1:25" x14ac:dyDescent="0.2">
      <c r="A27" s="216" t="s">
        <v>514</v>
      </c>
      <c r="B27" s="231"/>
      <c r="C27" s="231"/>
      <c r="D27" s="263" t="s">
        <v>515</v>
      </c>
      <c r="F27" s="238" t="str">
        <f>A4</f>
        <v>c6.4</v>
      </c>
      <c r="G27" s="87">
        <f>MAX(0,G18-G24)</f>
        <v>0</v>
      </c>
      <c r="H27" s="189"/>
      <c r="J27" s="239" t="str">
        <f>A14</f>
        <v>c6.14</v>
      </c>
      <c r="K27" s="87">
        <f>MAX(0,K18-K24)</f>
        <v>0</v>
      </c>
      <c r="L27" s="189"/>
      <c r="M27" s="256"/>
      <c r="N27" s="239" t="str">
        <f>A26</f>
        <v>c6.26</v>
      </c>
      <c r="O27" s="87">
        <f>MAX(0,O18-O24)</f>
        <v>0</v>
      </c>
      <c r="P27" s="246"/>
      <c r="Q27" s="256"/>
      <c r="R27" s="238" t="str">
        <f>A38</f>
        <v>c6.38</v>
      </c>
      <c r="S27" s="262">
        <f>MAX(0,S18-S24)</f>
        <v>0</v>
      </c>
      <c r="T27" s="246"/>
      <c r="U27" s="256"/>
      <c r="V27" s="238" t="str">
        <f>A48</f>
        <v>c6.48</v>
      </c>
      <c r="W27" s="262">
        <f>MAX(0,W18-W24)</f>
        <v>0</v>
      </c>
      <c r="Y27" s="101"/>
    </row>
    <row r="28" spans="1:25" x14ac:dyDescent="0.2">
      <c r="A28" s="216" t="s">
        <v>516</v>
      </c>
      <c r="H28" s="189"/>
      <c r="L28" s="189"/>
      <c r="P28" s="189"/>
      <c r="T28" s="189"/>
      <c r="Y28" s="101"/>
    </row>
    <row r="29" spans="1:25" x14ac:dyDescent="0.2">
      <c r="A29" s="216" t="s">
        <v>517</v>
      </c>
      <c r="H29" s="189"/>
      <c r="L29" s="189"/>
      <c r="N29" s="232"/>
      <c r="O29" s="264"/>
      <c r="P29" s="189"/>
      <c r="T29" s="189"/>
      <c r="Y29" s="101"/>
    </row>
    <row r="30" spans="1:25" x14ac:dyDescent="0.2">
      <c r="A30" s="216" t="s">
        <v>518</v>
      </c>
      <c r="C30" s="265"/>
      <c r="D30" s="241" t="s">
        <v>519</v>
      </c>
      <c r="E30" s="231"/>
      <c r="F30" s="231"/>
      <c r="G30" s="263"/>
      <c r="H30" s="189"/>
      <c r="J30" s="101"/>
      <c r="K30" s="245"/>
      <c r="L30" s="189"/>
      <c r="M30" s="101"/>
      <c r="N30" s="266"/>
      <c r="O30" s="267"/>
      <c r="P30" s="189"/>
      <c r="R30" s="266"/>
      <c r="S30" s="267"/>
      <c r="T30" s="189"/>
      <c r="U30" s="268"/>
      <c r="V30" s="258"/>
      <c r="W30" s="104"/>
      <c r="Y30" s="101"/>
    </row>
    <row r="31" spans="1:25" x14ac:dyDescent="0.2">
      <c r="A31" s="216" t="s">
        <v>520</v>
      </c>
      <c r="D31" s="269" t="s">
        <v>521</v>
      </c>
      <c r="F31" s="239" t="str">
        <f>A5</f>
        <v>c6.5</v>
      </c>
      <c r="G31" s="87">
        <f>SBR_band+'Stage 4'!I41</f>
        <v>27000</v>
      </c>
      <c r="H31" s="189"/>
      <c r="J31" s="239" t="str">
        <f>A15</f>
        <v>c6.15</v>
      </c>
      <c r="K31" s="270">
        <f>MAX(0,G31-G42)</f>
        <v>27000</v>
      </c>
      <c r="L31" s="189"/>
      <c r="M31" s="101"/>
      <c r="N31" s="239" t="str">
        <f>A27</f>
        <v>c6.27</v>
      </c>
      <c r="O31" s="270">
        <f>MAX(0,(BR_band+'Stage 4'!I41)-(G18+K18))</f>
        <v>32000</v>
      </c>
      <c r="P31" s="189"/>
      <c r="Q31" s="101"/>
      <c r="R31" s="238" t="str">
        <f>A39</f>
        <v>c6.39</v>
      </c>
      <c r="S31" s="270">
        <f>MAX(0,O31-O42)</f>
        <v>32000</v>
      </c>
      <c r="T31" s="189"/>
      <c r="U31" s="271"/>
      <c r="V31" s="238" t="str">
        <f>A49</f>
        <v>c6.49</v>
      </c>
      <c r="W31" s="270">
        <f>MAX(0,S31-S42)</f>
        <v>32000</v>
      </c>
      <c r="X31" s="104"/>
      <c r="Y31" s="101"/>
    </row>
    <row r="32" spans="1:25" x14ac:dyDescent="0.2">
      <c r="A32" s="216" t="s">
        <v>522</v>
      </c>
      <c r="H32" s="189"/>
      <c r="L32" s="189"/>
      <c r="M32" s="101"/>
      <c r="P32" s="189"/>
      <c r="Q32" s="101"/>
      <c r="R32" s="101"/>
      <c r="S32" s="271"/>
      <c r="T32" s="189"/>
      <c r="U32" s="271"/>
      <c r="X32" s="104"/>
      <c r="Y32" s="101"/>
    </row>
    <row r="33" spans="1:25" x14ac:dyDescent="0.2">
      <c r="A33" s="216" t="s">
        <v>523</v>
      </c>
      <c r="C33" s="231"/>
      <c r="D33" s="231" t="s">
        <v>524</v>
      </c>
      <c r="H33" s="189"/>
      <c r="K33" s="272"/>
      <c r="L33" s="189"/>
      <c r="O33" s="272"/>
      <c r="P33" s="189"/>
      <c r="T33" s="189"/>
      <c r="V33" s="273"/>
      <c r="W33" s="263"/>
      <c r="X33" s="104"/>
      <c r="Y33" s="101"/>
    </row>
    <row r="34" spans="1:25" x14ac:dyDescent="0.2">
      <c r="A34" s="216" t="s">
        <v>525</v>
      </c>
      <c r="C34" s="231"/>
      <c r="D34" s="263" t="s">
        <v>143</v>
      </c>
      <c r="H34" s="189"/>
      <c r="J34" s="239" t="str">
        <f>A16</f>
        <v>c6.16</v>
      </c>
      <c r="K34" s="87">
        <f>'Stage 4'!M110</f>
        <v>1000</v>
      </c>
      <c r="L34" s="189"/>
      <c r="N34" s="239" t="str">
        <f>A28</f>
        <v>c6.28</v>
      </c>
      <c r="O34" s="270">
        <f>'Stage 4'!M112</f>
        <v>5000</v>
      </c>
      <c r="P34" s="189"/>
      <c r="T34" s="189"/>
      <c r="V34" s="239" t="str">
        <f>A50</f>
        <v>c6.50</v>
      </c>
      <c r="W34" s="87">
        <f>MAX(0,K34-K38)</f>
        <v>1000</v>
      </c>
      <c r="X34" s="104"/>
      <c r="Y34" s="101"/>
    </row>
    <row r="35" spans="1:25" x14ac:dyDescent="0.2">
      <c r="A35" s="216" t="s">
        <v>526</v>
      </c>
      <c r="H35" s="189"/>
      <c r="L35" s="189"/>
      <c r="P35" s="189"/>
      <c r="T35" s="189"/>
      <c r="V35" s="273"/>
      <c r="X35" s="104"/>
      <c r="Y35" s="101"/>
    </row>
    <row r="36" spans="1:25" x14ac:dyDescent="0.2">
      <c r="A36" s="216" t="s">
        <v>527</v>
      </c>
      <c r="H36" s="189"/>
      <c r="J36" s="231"/>
      <c r="K36" s="263"/>
      <c r="L36" s="189"/>
      <c r="P36" s="189"/>
      <c r="T36" s="189"/>
      <c r="Y36" s="101"/>
    </row>
    <row r="37" spans="1:25" ht="12" x14ac:dyDescent="0.25">
      <c r="A37" s="216" t="s">
        <v>528</v>
      </c>
      <c r="C37" s="274"/>
      <c r="D37" s="231" t="s">
        <v>524</v>
      </c>
      <c r="H37" s="189"/>
      <c r="J37" s="231"/>
      <c r="K37" s="263"/>
      <c r="L37" s="189"/>
      <c r="N37" s="231"/>
      <c r="O37" s="263"/>
      <c r="P37" s="189"/>
      <c r="T37" s="189"/>
      <c r="V37" s="273"/>
      <c r="W37" s="263"/>
      <c r="Y37" s="101"/>
    </row>
    <row r="38" spans="1:25" ht="12" x14ac:dyDescent="0.25">
      <c r="A38" s="216" t="s">
        <v>529</v>
      </c>
      <c r="C38" s="274"/>
      <c r="D38" s="86" t="s">
        <v>530</v>
      </c>
      <c r="H38" s="189"/>
      <c r="J38" s="260" t="str">
        <f>A17</f>
        <v>c6.17</v>
      </c>
      <c r="K38" s="87">
        <f>MIN(K18-K24,'Stage 4'!M110)</f>
        <v>0</v>
      </c>
      <c r="L38" s="189"/>
      <c r="N38" s="260" t="str">
        <f>A29</f>
        <v>c6.29</v>
      </c>
      <c r="O38" s="270">
        <f>MIN(O18,DTA)</f>
        <v>0</v>
      </c>
      <c r="P38" s="189"/>
      <c r="T38" s="189"/>
      <c r="V38" s="260" t="str">
        <f>A51</f>
        <v>c6.51</v>
      </c>
      <c r="W38" s="87">
        <f>MIN(W18,W34)</f>
        <v>0</v>
      </c>
      <c r="Y38" s="101"/>
    </row>
    <row r="39" spans="1:25" x14ac:dyDescent="0.2">
      <c r="A39" s="216" t="s">
        <v>531</v>
      </c>
      <c r="H39" s="189"/>
      <c r="L39" s="189"/>
      <c r="P39" s="189"/>
      <c r="T39" s="189"/>
      <c r="X39" s="101"/>
      <c r="Y39" s="101"/>
    </row>
    <row r="40" spans="1:25" x14ac:dyDescent="0.2">
      <c r="A40" s="216" t="s">
        <v>532</v>
      </c>
      <c r="H40" s="189"/>
      <c r="J40" s="231"/>
      <c r="K40" s="263"/>
      <c r="L40" s="189"/>
      <c r="M40" s="101"/>
      <c r="N40" s="232"/>
      <c r="O40" s="267"/>
      <c r="P40" s="189"/>
      <c r="T40" s="189"/>
      <c r="V40" s="242"/>
      <c r="W40" s="275"/>
      <c r="X40" s="101"/>
      <c r="Y40" s="101"/>
    </row>
    <row r="41" spans="1:25" x14ac:dyDescent="0.2">
      <c r="A41" s="216" t="s">
        <v>533</v>
      </c>
      <c r="G41" s="264"/>
      <c r="H41" s="189"/>
      <c r="J41" s="257"/>
      <c r="K41" s="245"/>
      <c r="L41" s="189"/>
      <c r="M41" s="101"/>
      <c r="N41" s="266"/>
      <c r="O41" s="267"/>
      <c r="P41" s="189"/>
      <c r="Q41" s="101"/>
      <c r="S41" s="104"/>
      <c r="T41" s="189"/>
      <c r="U41" s="101"/>
      <c r="V41" s="242"/>
      <c r="W41" s="243"/>
      <c r="Y41" s="101"/>
    </row>
    <row r="42" spans="1:25" ht="12" x14ac:dyDescent="0.25">
      <c r="A42" s="216" t="s">
        <v>534</v>
      </c>
      <c r="D42" s="237" t="s">
        <v>535</v>
      </c>
      <c r="E42" s="241"/>
      <c r="F42" s="260" t="str">
        <f>A6</f>
        <v>c6.6</v>
      </c>
      <c r="G42" s="87">
        <f>MAX(0,MIN(G27,G31))</f>
        <v>0</v>
      </c>
      <c r="H42" s="189"/>
      <c r="J42" s="260" t="str">
        <f>A18</f>
        <v>c6.18</v>
      </c>
      <c r="K42" s="87">
        <f>MAX(0,MIN(K27,K31)-K38)</f>
        <v>0</v>
      </c>
      <c r="L42" s="189"/>
      <c r="M42" s="101"/>
      <c r="N42" s="259" t="str">
        <f>A30</f>
        <v>c6.30</v>
      </c>
      <c r="O42" s="87">
        <f>MAX(0,MIN(O18,O31)-O38)</f>
        <v>0</v>
      </c>
      <c r="P42" s="189"/>
      <c r="R42" s="259" t="str">
        <f>A40</f>
        <v>c6.40</v>
      </c>
      <c r="S42" s="262">
        <f>MIN(S27,S31)</f>
        <v>0</v>
      </c>
      <c r="T42" s="189"/>
      <c r="V42" s="276" t="str">
        <f>A52</f>
        <v>c6.52</v>
      </c>
      <c r="W42" s="251">
        <f>MAX(0,MIN(W27,W31)-W38)</f>
        <v>0</v>
      </c>
      <c r="X42" s="101"/>
      <c r="Y42" s="101"/>
    </row>
    <row r="43" spans="1:25" x14ac:dyDescent="0.2">
      <c r="A43" s="216" t="s">
        <v>536</v>
      </c>
      <c r="H43" s="189"/>
      <c r="K43" s="101"/>
      <c r="L43" s="189"/>
      <c r="M43" s="101"/>
      <c r="P43" s="189"/>
      <c r="T43" s="189"/>
      <c r="Y43" s="101"/>
    </row>
    <row r="44" spans="1:25" x14ac:dyDescent="0.2">
      <c r="A44" s="216" t="s">
        <v>537</v>
      </c>
      <c r="G44" s="245"/>
      <c r="H44" s="189"/>
      <c r="J44" s="101"/>
      <c r="K44" s="245"/>
      <c r="L44" s="189"/>
      <c r="M44" s="101"/>
      <c r="N44" s="232"/>
      <c r="O44" s="267"/>
      <c r="P44" s="189"/>
      <c r="S44" s="104"/>
      <c r="T44" s="189"/>
      <c r="V44" s="273"/>
      <c r="W44" s="245"/>
      <c r="Y44" s="101"/>
    </row>
    <row r="45" spans="1:25" x14ac:dyDescent="0.2">
      <c r="A45" s="216" t="s">
        <v>538</v>
      </c>
      <c r="B45" s="231"/>
      <c r="C45" s="231"/>
      <c r="D45" s="263" t="s">
        <v>539</v>
      </c>
      <c r="F45" s="239" t="str">
        <f>A7</f>
        <v>c6.7</v>
      </c>
      <c r="G45" s="87">
        <f>MAX(0,G27-G42)</f>
        <v>0</v>
      </c>
      <c r="H45" s="189"/>
      <c r="J45" s="239" t="str">
        <f>A19</f>
        <v>c6.19</v>
      </c>
      <c r="K45" s="262">
        <f>MAX(0,K27-(K38+K42))</f>
        <v>0</v>
      </c>
      <c r="L45" s="189"/>
      <c r="M45" s="101"/>
      <c r="N45" s="238" t="str">
        <f>A31</f>
        <v>c6.31</v>
      </c>
      <c r="O45" s="87">
        <f>MAX(0,O18-(O38+O42))</f>
        <v>0</v>
      </c>
      <c r="P45" s="189"/>
      <c r="R45" s="238" t="str">
        <f>A41</f>
        <v>c6.41</v>
      </c>
      <c r="S45" s="262">
        <f>MAX(0,S27-S42)</f>
        <v>0</v>
      </c>
      <c r="T45" s="189"/>
      <c r="V45" s="239" t="str">
        <f>A53</f>
        <v>c6.53</v>
      </c>
      <c r="W45" s="87">
        <f>MAX(0,W27-(W38+W42))</f>
        <v>0</v>
      </c>
      <c r="X45" s="101"/>
      <c r="Y45" s="101"/>
    </row>
    <row r="46" spans="1:25" x14ac:dyDescent="0.2">
      <c r="A46" s="216" t="s">
        <v>540</v>
      </c>
      <c r="H46" s="189"/>
      <c r="L46" s="189"/>
      <c r="M46" s="101"/>
      <c r="P46" s="189"/>
      <c r="T46" s="189"/>
      <c r="X46" s="101"/>
      <c r="Y46" s="101"/>
    </row>
    <row r="47" spans="1:25" x14ac:dyDescent="0.2">
      <c r="A47" s="216" t="s">
        <v>541</v>
      </c>
      <c r="D47" s="241" t="s">
        <v>542</v>
      </c>
      <c r="G47" s="263"/>
      <c r="H47" s="189"/>
      <c r="K47" s="245"/>
      <c r="L47" s="189"/>
      <c r="M47" s="101"/>
      <c r="O47" s="245"/>
      <c r="P47" s="189"/>
      <c r="S47" s="104"/>
      <c r="T47" s="189"/>
      <c r="W47" s="245"/>
      <c r="X47" s="101"/>
      <c r="Y47" s="101"/>
    </row>
    <row r="48" spans="1:25" ht="12" x14ac:dyDescent="0.25">
      <c r="A48" s="216" t="s">
        <v>543</v>
      </c>
      <c r="D48" s="241" t="s">
        <v>544</v>
      </c>
      <c r="F48" s="239" t="str">
        <f>A8</f>
        <v>c6.8</v>
      </c>
      <c r="G48" s="98">
        <f>HR_band</f>
        <v>118000</v>
      </c>
      <c r="H48" s="189"/>
      <c r="J48" s="239" t="str">
        <f>A20</f>
        <v>c6.20</v>
      </c>
      <c r="K48" s="270">
        <f>MAX(0,G48-G52)</f>
        <v>118000</v>
      </c>
      <c r="L48" s="189"/>
      <c r="M48" s="101"/>
      <c r="N48" s="238" t="str">
        <f>A32</f>
        <v>c6.32</v>
      </c>
      <c r="O48" s="270">
        <f>MAX(0,K48-K52)</f>
        <v>118000</v>
      </c>
      <c r="P48" s="189"/>
      <c r="R48" s="238" t="str">
        <f>A42</f>
        <v>c6.42</v>
      </c>
      <c r="S48" s="270">
        <f>MAX(0,O48-O52)</f>
        <v>118000</v>
      </c>
      <c r="T48" s="189"/>
      <c r="V48" s="239" t="str">
        <f>A54</f>
        <v>c6.54</v>
      </c>
      <c r="W48" s="270">
        <f>MAX(0,S48-S52)</f>
        <v>118000</v>
      </c>
      <c r="X48" s="101"/>
      <c r="Y48" s="101"/>
    </row>
    <row r="49" spans="1:25" x14ac:dyDescent="0.2">
      <c r="A49" s="216" t="s">
        <v>545</v>
      </c>
      <c r="H49" s="189"/>
      <c r="L49" s="189"/>
      <c r="M49" s="101"/>
      <c r="N49" s="101"/>
      <c r="P49" s="189"/>
      <c r="R49" s="101"/>
      <c r="T49" s="189"/>
      <c r="V49" s="101"/>
      <c r="X49" s="101"/>
      <c r="Y49" s="101"/>
    </row>
    <row r="50" spans="1:25" x14ac:dyDescent="0.2">
      <c r="A50" s="216" t="s">
        <v>546</v>
      </c>
      <c r="H50" s="189"/>
      <c r="L50" s="189"/>
      <c r="M50" s="101"/>
      <c r="N50" s="277"/>
      <c r="O50" s="243"/>
      <c r="P50" s="189"/>
      <c r="R50" s="101"/>
      <c r="T50" s="189"/>
      <c r="X50" s="101"/>
      <c r="Y50" s="101"/>
    </row>
    <row r="51" spans="1:25" ht="11.4" customHeight="1" x14ac:dyDescent="0.2">
      <c r="A51" s="216" t="s">
        <v>547</v>
      </c>
      <c r="F51" s="231"/>
      <c r="G51" s="245"/>
      <c r="H51" s="189"/>
      <c r="K51" s="245"/>
      <c r="L51" s="189"/>
      <c r="M51" s="101"/>
      <c r="N51" s="242"/>
      <c r="O51" s="278"/>
      <c r="P51" s="189"/>
      <c r="S51" s="104"/>
      <c r="T51" s="189"/>
      <c r="V51" s="101"/>
      <c r="W51" s="245"/>
      <c r="X51" s="101"/>
      <c r="Y51" s="101"/>
    </row>
    <row r="52" spans="1:25" ht="12" x14ac:dyDescent="0.25">
      <c r="A52" s="216" t="s">
        <v>548</v>
      </c>
      <c r="D52" s="237" t="s">
        <v>549</v>
      </c>
      <c r="F52" s="260" t="str">
        <f>A9</f>
        <v>c6.9</v>
      </c>
      <c r="G52" s="87">
        <f>MIN(G45,G48)</f>
        <v>0</v>
      </c>
      <c r="H52" s="189"/>
      <c r="J52" s="260" t="str">
        <f>A21</f>
        <v>c6.21</v>
      </c>
      <c r="K52" s="87">
        <f>MIN(K45,K48)</f>
        <v>0</v>
      </c>
      <c r="L52" s="189"/>
      <c r="M52" s="101"/>
      <c r="N52" s="276" t="str">
        <f>A33</f>
        <v>c6.33</v>
      </c>
      <c r="O52" s="251">
        <f>MAX(0,MIN(O45,O48-O38))</f>
        <v>0</v>
      </c>
      <c r="P52" s="189"/>
      <c r="R52" s="259" t="str">
        <f>A43</f>
        <v>c6.43</v>
      </c>
      <c r="S52" s="87">
        <f>MIN(S45,S48)</f>
        <v>0</v>
      </c>
      <c r="T52" s="189"/>
      <c r="V52" s="260" t="str">
        <f>A55</f>
        <v>c6.55</v>
      </c>
      <c r="W52" s="87">
        <f>MIN(W45,W48)</f>
        <v>0</v>
      </c>
      <c r="X52" s="101"/>
      <c r="Y52" s="101"/>
    </row>
    <row r="53" spans="1:25" x14ac:dyDescent="0.2">
      <c r="A53" s="216" t="s">
        <v>550</v>
      </c>
      <c r="H53" s="189"/>
      <c r="L53" s="189"/>
      <c r="M53" s="101"/>
      <c r="N53" s="101"/>
      <c r="P53" s="189"/>
      <c r="R53" s="101"/>
      <c r="T53" s="189"/>
      <c r="V53" s="101"/>
      <c r="X53" s="101"/>
      <c r="Y53" s="101"/>
    </row>
    <row r="54" spans="1:25" x14ac:dyDescent="0.2">
      <c r="A54" s="216" t="s">
        <v>551</v>
      </c>
      <c r="G54" s="245"/>
      <c r="H54" s="189"/>
      <c r="K54" s="245"/>
      <c r="L54" s="189"/>
      <c r="M54" s="101"/>
      <c r="N54" s="101"/>
      <c r="O54" s="104"/>
      <c r="P54" s="189"/>
      <c r="R54" s="101"/>
      <c r="S54" s="104"/>
      <c r="T54" s="189"/>
      <c r="V54" s="101"/>
      <c r="W54" s="245"/>
      <c r="X54" s="101"/>
      <c r="Y54" s="101"/>
    </row>
    <row r="55" spans="1:25" ht="12" x14ac:dyDescent="0.25">
      <c r="A55" s="216" t="s">
        <v>552</v>
      </c>
      <c r="D55" s="237" t="s">
        <v>553</v>
      </c>
      <c r="F55" s="260" t="str">
        <f>A10</f>
        <v>c6.10</v>
      </c>
      <c r="G55" s="87">
        <f>MAX(0,G45-G52)</f>
        <v>0</v>
      </c>
      <c r="H55" s="189"/>
      <c r="J55" s="260" t="str">
        <f>A22</f>
        <v>c6.22</v>
      </c>
      <c r="K55" s="87">
        <f>MAX(0,K45-K52)</f>
        <v>0</v>
      </c>
      <c r="L55" s="189"/>
      <c r="M55" s="101"/>
      <c r="N55" s="259" t="str">
        <f>A34</f>
        <v>c6.34</v>
      </c>
      <c r="O55" s="87">
        <f>MAX(0,O45-O52)</f>
        <v>0</v>
      </c>
      <c r="P55" s="189"/>
      <c r="R55" s="259" t="str">
        <f>A44</f>
        <v>c6.44</v>
      </c>
      <c r="S55" s="87">
        <f>MAX(0,S45-S52)</f>
        <v>0</v>
      </c>
      <c r="T55" s="189"/>
      <c r="V55" s="260" t="str">
        <f>A56</f>
        <v>c6.56</v>
      </c>
      <c r="W55" s="87">
        <f>MAX(0,W45-W52)</f>
        <v>0</v>
      </c>
      <c r="X55" s="101"/>
      <c r="Y55" s="101"/>
    </row>
    <row r="56" spans="1:25" x14ac:dyDescent="0.2">
      <c r="A56" s="216" t="s">
        <v>554</v>
      </c>
      <c r="S56" s="101"/>
      <c r="T56" s="101"/>
      <c r="U56" s="101"/>
      <c r="X56" s="101"/>
      <c r="Y56" s="101"/>
    </row>
    <row r="57" spans="1:25" x14ac:dyDescent="0.2">
      <c r="A57" s="216" t="s">
        <v>555</v>
      </c>
      <c r="S57" s="101"/>
      <c r="T57" s="101"/>
      <c r="U57" s="101"/>
      <c r="X57" s="101"/>
      <c r="Y57" s="101"/>
    </row>
    <row r="58" spans="1:25" x14ac:dyDescent="0.2">
      <c r="A58" s="216" t="s">
        <v>556</v>
      </c>
      <c r="X58" s="101"/>
      <c r="Y58" s="101"/>
    </row>
    <row r="59" spans="1:25" x14ac:dyDescent="0.2">
      <c r="A59" s="216" t="s">
        <v>557</v>
      </c>
      <c r="X59" s="101"/>
      <c r="Y59" s="101"/>
    </row>
    <row r="60" spans="1:25" x14ac:dyDescent="0.2">
      <c r="A60" s="216" t="s">
        <v>558</v>
      </c>
      <c r="X60" s="101"/>
      <c r="Y60" s="101"/>
    </row>
    <row r="61" spans="1:25" x14ac:dyDescent="0.2">
      <c r="X61" s="101"/>
      <c r="Y61" s="101"/>
    </row>
    <row r="62" spans="1:25" x14ac:dyDescent="0.2">
      <c r="X62" s="101"/>
      <c r="Y62" s="101"/>
    </row>
    <row r="63" spans="1:25" x14ac:dyDescent="0.2">
      <c r="X63" s="101"/>
      <c r="Y63" s="101"/>
    </row>
    <row r="64" spans="1:25" x14ac:dyDescent="0.2">
      <c r="X64" s="101"/>
      <c r="Y64" s="101"/>
    </row>
    <row r="65" spans="18:25" x14ac:dyDescent="0.2">
      <c r="X65" s="101"/>
      <c r="Y65" s="101"/>
    </row>
    <row r="66" spans="18:25" x14ac:dyDescent="0.2">
      <c r="X66" s="101"/>
      <c r="Y66" s="101"/>
    </row>
    <row r="67" spans="18:25" x14ac:dyDescent="0.2">
      <c r="X67" s="101"/>
      <c r="Y67" s="101"/>
    </row>
    <row r="68" spans="18:25" x14ac:dyDescent="0.2">
      <c r="X68" s="104"/>
      <c r="Y68" s="101"/>
    </row>
    <row r="70" spans="18:25" x14ac:dyDescent="0.2">
      <c r="R70" s="101"/>
    </row>
    <row r="71" spans="18:25" x14ac:dyDescent="0.2">
      <c r="R71" s="101"/>
    </row>
    <row r="72" spans="18:25" x14ac:dyDescent="0.2">
      <c r="R72" s="101"/>
    </row>
    <row r="74" spans="18:25" x14ac:dyDescent="0.2">
      <c r="R74" s="10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94"/>
  <sheetViews>
    <sheetView topLeftCell="B13" workbookViewId="0">
      <selection activeCell="D39" sqref="D39"/>
    </sheetView>
  </sheetViews>
  <sheetFormatPr defaultColWidth="9.109375" defaultRowHeight="11.4" x14ac:dyDescent="0.2"/>
  <cols>
    <col min="1" max="1" width="5.33203125" style="72" hidden="1" customWidth="1"/>
    <col min="2" max="2" width="15.88671875" style="72" customWidth="1"/>
    <col min="3" max="3" width="6.33203125" style="72" customWidth="1"/>
    <col min="4" max="4" width="13.33203125" style="72" customWidth="1"/>
    <col min="5" max="5" width="19" style="72" customWidth="1"/>
    <col min="6" max="7" width="6.33203125" style="72" customWidth="1"/>
    <col min="8" max="8" width="13.33203125" style="72" customWidth="1"/>
    <col min="9" max="9" width="5" style="72" customWidth="1"/>
    <col min="10" max="10" width="9.109375" style="72"/>
    <col min="11" max="11" width="4.88671875" style="72" customWidth="1"/>
    <col min="12" max="12" width="5.6640625" style="72" customWidth="1"/>
    <col min="13" max="14" width="9.109375" style="72"/>
    <col min="15" max="15" width="13.109375" style="72" customWidth="1"/>
    <col min="16" max="16384" width="9.109375" style="72"/>
  </cols>
  <sheetData>
    <row r="1" spans="1:15" ht="17.399999999999999" x14ac:dyDescent="0.3">
      <c r="B1" s="73" t="s">
        <v>559</v>
      </c>
      <c r="C1" s="101"/>
      <c r="J1" s="101"/>
      <c r="K1" s="190"/>
      <c r="L1" s="190"/>
      <c r="M1" s="190"/>
      <c r="N1" s="190"/>
      <c r="O1" s="101"/>
    </row>
    <row r="2" spans="1:15" x14ac:dyDescent="0.2">
      <c r="J2" s="101"/>
      <c r="K2" s="190"/>
      <c r="L2" s="190"/>
      <c r="M2" s="101"/>
      <c r="N2" s="101"/>
      <c r="O2" s="101"/>
    </row>
    <row r="3" spans="1:15" x14ac:dyDescent="0.2">
      <c r="E3" s="218" t="s">
        <v>333</v>
      </c>
      <c r="F3" s="219"/>
      <c r="G3" s="219"/>
      <c r="H3" s="220"/>
      <c r="K3" s="190"/>
      <c r="L3" s="190"/>
      <c r="M3" s="101"/>
      <c r="N3" s="190"/>
      <c r="O3" s="101"/>
    </row>
    <row r="4" spans="1:15" x14ac:dyDescent="0.2">
      <c r="A4" s="216" t="s">
        <v>561</v>
      </c>
      <c r="K4" s="190"/>
      <c r="L4" s="190"/>
      <c r="M4" s="101"/>
      <c r="N4" s="190"/>
      <c r="O4" s="101"/>
    </row>
    <row r="5" spans="1:15" x14ac:dyDescent="0.2">
      <c r="A5" s="216" t="s">
        <v>562</v>
      </c>
      <c r="B5" s="84"/>
      <c r="C5" s="84"/>
      <c r="D5" s="84"/>
      <c r="E5" s="84"/>
      <c r="K5" s="190"/>
      <c r="L5" s="190"/>
      <c r="M5" s="101"/>
      <c r="N5" s="190"/>
      <c r="O5" s="101"/>
    </row>
    <row r="6" spans="1:15" x14ac:dyDescent="0.2">
      <c r="A6" s="216" t="s">
        <v>564</v>
      </c>
      <c r="B6" s="84"/>
      <c r="C6" s="84"/>
      <c r="D6" s="84"/>
      <c r="K6" s="190"/>
      <c r="L6" s="190"/>
      <c r="M6" s="101"/>
      <c r="N6" s="190"/>
      <c r="O6" s="101"/>
    </row>
    <row r="7" spans="1:15" x14ac:dyDescent="0.2">
      <c r="A7" s="216" t="s">
        <v>565</v>
      </c>
      <c r="K7" s="190"/>
      <c r="L7" s="190"/>
      <c r="M7" s="101"/>
      <c r="N7" s="190"/>
      <c r="O7" s="101"/>
    </row>
    <row r="8" spans="1:15" ht="12" x14ac:dyDescent="0.25">
      <c r="A8" s="216" t="s">
        <v>566</v>
      </c>
      <c r="B8" s="181" t="s">
        <v>361</v>
      </c>
      <c r="J8" s="101"/>
      <c r="K8" s="190"/>
      <c r="L8" s="190"/>
      <c r="M8" s="101"/>
      <c r="N8" s="190"/>
      <c r="O8" s="101"/>
    </row>
    <row r="9" spans="1:15" x14ac:dyDescent="0.2">
      <c r="A9" s="216" t="s">
        <v>567</v>
      </c>
      <c r="F9" s="84"/>
      <c r="G9" s="84"/>
      <c r="H9" s="86"/>
      <c r="J9" s="101"/>
      <c r="K9" s="190"/>
    </row>
    <row r="10" spans="1:15" x14ac:dyDescent="0.2">
      <c r="A10" s="216" t="s">
        <v>569</v>
      </c>
      <c r="F10" s="126"/>
      <c r="G10" s="126"/>
      <c r="H10" s="110"/>
      <c r="K10" s="190"/>
    </row>
    <row r="11" spans="1:15" x14ac:dyDescent="0.2">
      <c r="A11" s="216" t="s">
        <v>570</v>
      </c>
      <c r="F11" s="84"/>
      <c r="G11" s="84"/>
      <c r="H11" s="86"/>
      <c r="K11" s="190"/>
    </row>
    <row r="12" spans="1:15" x14ac:dyDescent="0.2">
      <c r="A12" s="216" t="s">
        <v>572</v>
      </c>
      <c r="F12" s="84"/>
      <c r="G12" s="84"/>
      <c r="H12" s="84"/>
      <c r="K12" s="190"/>
    </row>
    <row r="13" spans="1:15" x14ac:dyDescent="0.2">
      <c r="A13" s="216" t="s">
        <v>573</v>
      </c>
      <c r="F13" s="84"/>
      <c r="G13" s="84"/>
      <c r="H13" s="263"/>
      <c r="K13" s="190"/>
      <c r="L13" s="190"/>
      <c r="M13" s="101"/>
      <c r="N13" s="190"/>
      <c r="O13" s="190"/>
    </row>
    <row r="14" spans="1:15" x14ac:dyDescent="0.2">
      <c r="A14" s="216" t="s">
        <v>574</v>
      </c>
      <c r="F14" s="257"/>
      <c r="G14" s="84"/>
      <c r="H14" s="279"/>
      <c r="K14" s="190"/>
    </row>
    <row r="15" spans="1:15" x14ac:dyDescent="0.2">
      <c r="A15" s="216" t="s">
        <v>575</v>
      </c>
      <c r="C15" s="257"/>
      <c r="D15" s="245"/>
      <c r="E15" s="101"/>
      <c r="F15" s="280"/>
      <c r="G15" s="206"/>
      <c r="H15" s="206"/>
      <c r="I15" s="190"/>
    </row>
    <row r="16" spans="1:15" x14ac:dyDescent="0.2">
      <c r="A16" s="216" t="s">
        <v>576</v>
      </c>
      <c r="B16" s="281" t="s">
        <v>404</v>
      </c>
      <c r="C16" s="238" t="str">
        <f>A4</f>
        <v>c8.1</v>
      </c>
      <c r="D16" s="292">
        <f>'IRIS Stage 6'!G24+'IRIS Stage 6'!G42+'IRIS Stage 6'!S24+'IRIS Stage 6'!S42</f>
        <v>0</v>
      </c>
      <c r="F16" s="101"/>
      <c r="G16" s="238" t="str">
        <f>A5</f>
        <v>c8.2</v>
      </c>
      <c r="H16" s="282">
        <f>TRUNC(D16*BR_rate,2)</f>
        <v>0</v>
      </c>
      <c r="I16" s="283" t="s">
        <v>563</v>
      </c>
      <c r="J16" s="101"/>
    </row>
    <row r="17" spans="1:15" x14ac:dyDescent="0.2">
      <c r="A17" s="216" t="s">
        <v>577</v>
      </c>
      <c r="J17" s="101"/>
    </row>
    <row r="18" spans="1:15" x14ac:dyDescent="0.2">
      <c r="A18" s="216" t="s">
        <v>578</v>
      </c>
      <c r="B18" s="190"/>
      <c r="F18" s="84"/>
      <c r="G18" s="84"/>
      <c r="H18" s="86"/>
      <c r="I18" s="190"/>
      <c r="J18" s="101"/>
    </row>
    <row r="19" spans="1:15" x14ac:dyDescent="0.2">
      <c r="A19" s="216" t="s">
        <v>579</v>
      </c>
      <c r="F19" s="126"/>
      <c r="G19" s="126"/>
      <c r="H19" s="110"/>
    </row>
    <row r="20" spans="1:15" x14ac:dyDescent="0.2">
      <c r="A20" s="216" t="s">
        <v>581</v>
      </c>
      <c r="F20" s="84"/>
      <c r="G20" s="84"/>
      <c r="H20" s="86"/>
    </row>
    <row r="21" spans="1:15" x14ac:dyDescent="0.2">
      <c r="A21" s="216" t="s">
        <v>582</v>
      </c>
      <c r="F21" s="84"/>
      <c r="G21" s="84"/>
      <c r="H21" s="84"/>
    </row>
    <row r="22" spans="1:15" x14ac:dyDescent="0.2">
      <c r="A22" s="216" t="s">
        <v>583</v>
      </c>
      <c r="F22" s="84"/>
      <c r="G22" s="84"/>
      <c r="H22" s="263"/>
    </row>
    <row r="23" spans="1:15" x14ac:dyDescent="0.2">
      <c r="A23" s="216" t="s">
        <v>584</v>
      </c>
      <c r="F23" s="257"/>
      <c r="G23" s="84"/>
      <c r="H23" s="279"/>
    </row>
    <row r="24" spans="1:15" x14ac:dyDescent="0.2">
      <c r="A24" s="216" t="s">
        <v>585</v>
      </c>
      <c r="C24" s="101"/>
      <c r="D24" s="245"/>
      <c r="F24" s="280"/>
      <c r="G24" s="206"/>
      <c r="H24" s="206"/>
      <c r="I24" s="190"/>
    </row>
    <row r="25" spans="1:15" x14ac:dyDescent="0.2">
      <c r="A25" s="216" t="s">
        <v>586</v>
      </c>
      <c r="B25" s="281" t="s">
        <v>403</v>
      </c>
      <c r="C25" s="238" t="str">
        <f>A6</f>
        <v>c8.3</v>
      </c>
      <c r="D25" s="292">
        <f>'IRIS Stage 6'!G52+'IRIS Stage 6'!S52</f>
        <v>0</v>
      </c>
      <c r="F25" s="101"/>
      <c r="G25" s="238" t="str">
        <f>A7</f>
        <v>c8.4</v>
      </c>
      <c r="H25" s="282">
        <f>TRUNC(D25*HR_rate,2)</f>
        <v>0</v>
      </c>
      <c r="I25" s="283" t="s">
        <v>563</v>
      </c>
      <c r="J25" s="101"/>
    </row>
    <row r="26" spans="1:15" x14ac:dyDescent="0.2">
      <c r="A26" s="216" t="s">
        <v>587</v>
      </c>
      <c r="J26" s="190"/>
    </row>
    <row r="27" spans="1:15" x14ac:dyDescent="0.2">
      <c r="A27" s="216" t="s">
        <v>588</v>
      </c>
      <c r="C27" s="284"/>
      <c r="D27" s="120"/>
      <c r="F27" s="257"/>
      <c r="G27" s="84"/>
      <c r="H27" s="86"/>
      <c r="I27" s="190"/>
      <c r="J27" s="190"/>
    </row>
    <row r="28" spans="1:15" x14ac:dyDescent="0.2">
      <c r="A28" s="216" t="s">
        <v>590</v>
      </c>
      <c r="F28" s="126"/>
      <c r="G28" s="126"/>
      <c r="H28" s="110"/>
    </row>
    <row r="29" spans="1:15" x14ac:dyDescent="0.2">
      <c r="A29" s="216" t="s">
        <v>592</v>
      </c>
      <c r="F29" s="84"/>
      <c r="G29" s="84"/>
      <c r="H29" s="86"/>
    </row>
    <row r="30" spans="1:15" x14ac:dyDescent="0.2">
      <c r="F30" s="84"/>
      <c r="G30" s="84"/>
      <c r="H30" s="84"/>
      <c r="K30" s="190"/>
      <c r="O30" s="101"/>
    </row>
    <row r="31" spans="1:15" x14ac:dyDescent="0.2">
      <c r="F31" s="84"/>
      <c r="G31" s="84"/>
      <c r="H31" s="263"/>
      <c r="K31" s="190"/>
      <c r="L31" s="190"/>
      <c r="M31" s="190"/>
      <c r="N31" s="190"/>
      <c r="O31" s="101"/>
    </row>
    <row r="32" spans="1:15" ht="12" x14ac:dyDescent="0.25">
      <c r="F32" s="257"/>
      <c r="G32" s="84"/>
      <c r="H32" s="279"/>
      <c r="K32" s="190"/>
      <c r="L32" s="190"/>
      <c r="M32" s="190"/>
      <c r="N32" s="190"/>
      <c r="O32" s="234"/>
    </row>
    <row r="33" spans="2:10" x14ac:dyDescent="0.2">
      <c r="C33" s="284"/>
      <c r="D33" s="245"/>
      <c r="F33" s="280"/>
      <c r="G33" s="206"/>
      <c r="H33" s="206"/>
      <c r="I33" s="190"/>
      <c r="J33" s="190"/>
    </row>
    <row r="34" spans="2:10" x14ac:dyDescent="0.2">
      <c r="B34" s="281" t="s">
        <v>402</v>
      </c>
      <c r="C34" s="238" t="str">
        <f>A8</f>
        <v>c8.5</v>
      </c>
      <c r="D34" s="292">
        <f>'IRIS Stage 6'!G55+'IRIS Stage 6'!S55</f>
        <v>0</v>
      </c>
      <c r="F34" s="101"/>
      <c r="G34" s="238" t="str">
        <f>A9</f>
        <v>c8.6</v>
      </c>
      <c r="H34" s="282">
        <f>TRUNC(D34*AHR_rate,2)</f>
        <v>0</v>
      </c>
      <c r="I34" s="283" t="s">
        <v>563</v>
      </c>
      <c r="J34" s="190"/>
    </row>
    <row r="35" spans="2:10" x14ac:dyDescent="0.2">
      <c r="B35" s="99"/>
      <c r="C35" s="99"/>
      <c r="D35" s="99"/>
      <c r="E35" s="99"/>
      <c r="F35" s="99"/>
      <c r="G35" s="99"/>
      <c r="H35" s="99"/>
      <c r="I35" s="99"/>
      <c r="J35" s="99"/>
    </row>
    <row r="36" spans="2:10" x14ac:dyDescent="0.2">
      <c r="I36" s="190"/>
      <c r="J36" s="101"/>
    </row>
    <row r="37" spans="2:10" ht="12" x14ac:dyDescent="0.25">
      <c r="B37" s="181" t="s">
        <v>385</v>
      </c>
      <c r="C37" s="190"/>
      <c r="D37" s="104"/>
      <c r="E37" s="190"/>
      <c r="F37" s="101"/>
      <c r="G37" s="190"/>
      <c r="H37" s="190"/>
      <c r="I37" s="190"/>
      <c r="J37" s="101"/>
    </row>
    <row r="38" spans="2:10" x14ac:dyDescent="0.2">
      <c r="B38" s="101"/>
      <c r="C38" s="190"/>
      <c r="D38" s="245"/>
      <c r="E38" s="101"/>
      <c r="F38" s="101"/>
      <c r="G38" s="190"/>
      <c r="H38" s="241"/>
      <c r="I38" s="190"/>
      <c r="J38" s="190"/>
    </row>
    <row r="39" spans="2:10" x14ac:dyDescent="0.2">
      <c r="B39" s="281" t="s">
        <v>568</v>
      </c>
      <c r="C39" s="238" t="str">
        <f>A10</f>
        <v>c8.7</v>
      </c>
      <c r="D39" s="133">
        <f>('IRIS Stage 6'!K24+'IRIS Stage 6'!W24)</f>
        <v>0</v>
      </c>
      <c r="F39" s="101"/>
      <c r="G39" s="238" t="str">
        <f>A11</f>
        <v>c8.8</v>
      </c>
      <c r="H39" s="282">
        <f>TRUNC(D39*SR_rate,2)</f>
        <v>0</v>
      </c>
      <c r="I39" s="283" t="s">
        <v>563</v>
      </c>
      <c r="J39" s="101"/>
    </row>
    <row r="40" spans="2:10" x14ac:dyDescent="0.2">
      <c r="B40" s="190"/>
      <c r="C40" s="101"/>
      <c r="D40" s="104"/>
      <c r="E40" s="101"/>
      <c r="F40" s="101"/>
      <c r="I40" s="190"/>
      <c r="J40" s="190"/>
    </row>
    <row r="41" spans="2:10" x14ac:dyDescent="0.2">
      <c r="C41" s="137"/>
      <c r="D41" s="167"/>
      <c r="G41" s="137"/>
      <c r="H41" s="141"/>
    </row>
    <row r="42" spans="2:10" x14ac:dyDescent="0.2">
      <c r="B42" s="281" t="s">
        <v>571</v>
      </c>
      <c r="C42" s="150" t="str">
        <f>A12</f>
        <v>c8.9</v>
      </c>
      <c r="D42" s="133">
        <f>'IRIS Stage 6'!K38+'IRIS Stage 6'!W38</f>
        <v>0</v>
      </c>
      <c r="G42" s="150" t="str">
        <f>A13</f>
        <v>c8.10</v>
      </c>
      <c r="H42" s="282">
        <f>TRUNC(D42*SNil_rate,2)</f>
        <v>0</v>
      </c>
    </row>
    <row r="44" spans="2:10" x14ac:dyDescent="0.2">
      <c r="B44" s="190"/>
      <c r="C44" s="190"/>
      <c r="D44" s="245"/>
      <c r="E44" s="190"/>
      <c r="F44" s="190"/>
      <c r="G44" s="285"/>
      <c r="H44" s="241"/>
      <c r="I44" s="190"/>
      <c r="J44" s="190"/>
    </row>
    <row r="45" spans="2:10" x14ac:dyDescent="0.2">
      <c r="B45" s="281" t="s">
        <v>404</v>
      </c>
      <c r="C45" s="150" t="str">
        <f>A14</f>
        <v>c8.11</v>
      </c>
      <c r="D45" s="133">
        <f>'IRIS Stage 6'!K42+'IRIS Stage 6'!W42</f>
        <v>0</v>
      </c>
      <c r="F45" s="101"/>
      <c r="G45" s="150" t="str">
        <f>A15</f>
        <v>c8.12</v>
      </c>
      <c r="H45" s="282">
        <f>TRUNC(D45*BR_rate,2)</f>
        <v>0</v>
      </c>
      <c r="I45" s="283" t="s">
        <v>563</v>
      </c>
      <c r="J45" s="190"/>
    </row>
    <row r="46" spans="2:10" x14ac:dyDescent="0.2">
      <c r="B46" s="190"/>
      <c r="F46" s="190"/>
      <c r="I46" s="190"/>
      <c r="J46" s="190"/>
    </row>
    <row r="47" spans="2:10" ht="12" x14ac:dyDescent="0.25">
      <c r="B47" s="181"/>
      <c r="C47" s="190"/>
      <c r="D47" s="245"/>
      <c r="F47" s="190"/>
      <c r="G47" s="285"/>
      <c r="H47" s="241"/>
      <c r="J47" s="190"/>
    </row>
    <row r="48" spans="2:10" x14ac:dyDescent="0.2">
      <c r="B48" s="281" t="s">
        <v>403</v>
      </c>
      <c r="C48" s="150" t="str">
        <f>A16</f>
        <v>c8.13</v>
      </c>
      <c r="D48" s="96">
        <f>'IRIS Stage 6'!K52+'IRIS Stage 6'!W52</f>
        <v>0</v>
      </c>
      <c r="F48" s="101"/>
      <c r="G48" s="150" t="str">
        <f>A17</f>
        <v>c8.14</v>
      </c>
      <c r="H48" s="282">
        <f>TRUNC(D48*HR_rate,2)</f>
        <v>0</v>
      </c>
      <c r="I48" s="283" t="s">
        <v>563</v>
      </c>
      <c r="J48" s="190"/>
    </row>
    <row r="49" spans="2:10" x14ac:dyDescent="0.2">
      <c r="B49" s="101"/>
      <c r="C49" s="284"/>
      <c r="D49" s="120"/>
      <c r="F49" s="101"/>
      <c r="H49" s="101"/>
      <c r="J49" s="190"/>
    </row>
    <row r="50" spans="2:10" x14ac:dyDescent="0.2">
      <c r="B50" s="101"/>
      <c r="D50" s="245"/>
      <c r="F50" s="101"/>
      <c r="G50" s="281"/>
      <c r="H50" s="241"/>
      <c r="J50" s="190"/>
    </row>
    <row r="51" spans="2:10" x14ac:dyDescent="0.2">
      <c r="B51" s="281" t="s">
        <v>402</v>
      </c>
      <c r="C51" s="150" t="str">
        <f>A18</f>
        <v>c8.15</v>
      </c>
      <c r="D51" s="96">
        <f>'IRIS Stage 6'!K55+'IRIS Stage 6'!W55</f>
        <v>0</v>
      </c>
      <c r="F51" s="101"/>
      <c r="G51" s="150" t="str">
        <f>A19</f>
        <v>c8.16</v>
      </c>
      <c r="H51" s="282">
        <f>TRUNC(D51*AHR_rate,2)</f>
        <v>0</v>
      </c>
      <c r="I51" s="283" t="s">
        <v>563</v>
      </c>
      <c r="J51" s="190"/>
    </row>
    <row r="52" spans="2:10" x14ac:dyDescent="0.2">
      <c r="B52" s="99"/>
      <c r="C52" s="99"/>
      <c r="D52" s="99"/>
      <c r="E52" s="99"/>
      <c r="F52" s="99"/>
      <c r="G52" s="99"/>
      <c r="H52" s="99"/>
      <c r="I52" s="99"/>
      <c r="J52" s="99"/>
    </row>
    <row r="53" spans="2:10" x14ac:dyDescent="0.2">
      <c r="J53" s="190"/>
    </row>
    <row r="54" spans="2:10" ht="12" x14ac:dyDescent="0.25">
      <c r="B54" s="181" t="s">
        <v>580</v>
      </c>
      <c r="C54" s="101"/>
      <c r="D54" s="190"/>
      <c r="E54" s="190"/>
      <c r="F54" s="190"/>
      <c r="G54" s="190"/>
      <c r="H54" s="190"/>
      <c r="J54" s="190"/>
    </row>
    <row r="55" spans="2:10" x14ac:dyDescent="0.2">
      <c r="C55" s="137"/>
      <c r="D55" s="141"/>
      <c r="G55" s="137"/>
      <c r="H55" s="141"/>
    </row>
    <row r="56" spans="2:10" x14ac:dyDescent="0.2">
      <c r="B56" s="281" t="s">
        <v>571</v>
      </c>
      <c r="C56" s="150" t="str">
        <f>A20</f>
        <v>c8.17</v>
      </c>
      <c r="D56" s="96">
        <f>'IRIS Stage 6'!O38</f>
        <v>0</v>
      </c>
      <c r="G56" s="150" t="str">
        <f>A21</f>
        <v>c8.18</v>
      </c>
      <c r="H56" s="282">
        <f>TRUNC(D56*DivNil_rate,2)</f>
        <v>0</v>
      </c>
    </row>
    <row r="58" spans="2:10" x14ac:dyDescent="0.2">
      <c r="B58" s="190"/>
      <c r="C58" s="101"/>
      <c r="D58" s="267"/>
      <c r="E58" s="190"/>
      <c r="F58" s="190"/>
      <c r="G58" s="285"/>
      <c r="H58" s="263"/>
      <c r="J58" s="190"/>
    </row>
    <row r="59" spans="2:10" x14ac:dyDescent="0.2">
      <c r="B59" s="281" t="s">
        <v>404</v>
      </c>
      <c r="C59" s="150" t="str">
        <f xml:space="preserve"> A22</f>
        <v>c8.19</v>
      </c>
      <c r="D59" s="96">
        <f>'IRIS Stage 6'!O42</f>
        <v>0</v>
      </c>
      <c r="F59" s="101"/>
      <c r="G59" s="150" t="str">
        <f>A23</f>
        <v>c8.20</v>
      </c>
      <c r="H59" s="282">
        <f>TRUNC(D59*DivBR_rate,2)</f>
        <v>0</v>
      </c>
      <c r="I59" s="283" t="s">
        <v>563</v>
      </c>
      <c r="J59" s="190"/>
    </row>
    <row r="60" spans="2:10" x14ac:dyDescent="0.2">
      <c r="B60" s="190"/>
      <c r="C60" s="190"/>
      <c r="D60" s="190"/>
      <c r="E60" s="190"/>
      <c r="F60" s="190"/>
      <c r="G60" s="190"/>
      <c r="H60" s="190"/>
      <c r="J60" s="190"/>
    </row>
    <row r="61" spans="2:10" ht="12" x14ac:dyDescent="0.25">
      <c r="B61" s="181"/>
      <c r="C61" s="101"/>
      <c r="D61" s="104"/>
      <c r="E61" s="190"/>
      <c r="F61" s="190"/>
      <c r="G61" s="285"/>
      <c r="H61" s="263"/>
    </row>
    <row r="62" spans="2:10" x14ac:dyDescent="0.2">
      <c r="B62" s="281" t="s">
        <v>403</v>
      </c>
      <c r="C62" s="150" t="str">
        <f>A24</f>
        <v>c8.21</v>
      </c>
      <c r="D62" s="133">
        <f>'IRIS Stage 6'!O52</f>
        <v>0</v>
      </c>
      <c r="F62" s="101"/>
      <c r="G62" s="150" t="str">
        <f>A25</f>
        <v>c8.22</v>
      </c>
      <c r="H62" s="282">
        <f>TRUNC(D62*DivHR_rate,2)</f>
        <v>0</v>
      </c>
      <c r="I62" s="283" t="s">
        <v>563</v>
      </c>
    </row>
    <row r="63" spans="2:10" x14ac:dyDescent="0.2">
      <c r="B63" s="101"/>
    </row>
    <row r="64" spans="2:10" x14ac:dyDescent="0.2">
      <c r="B64" s="101"/>
      <c r="D64" s="104"/>
      <c r="G64" s="285"/>
      <c r="H64" s="263"/>
    </row>
    <row r="65" spans="2:10" x14ac:dyDescent="0.2">
      <c r="B65" s="281" t="s">
        <v>402</v>
      </c>
      <c r="C65" s="150" t="str">
        <f>A26</f>
        <v>c8.23</v>
      </c>
      <c r="D65" s="133">
        <f>'IRIS Stage 6'!O55</f>
        <v>0</v>
      </c>
      <c r="G65" s="150" t="str">
        <f>A27</f>
        <v>c8.24</v>
      </c>
      <c r="H65" s="282">
        <f>TRUNC(D65*DivAR_rate,2)</f>
        <v>0</v>
      </c>
      <c r="I65" s="283" t="s">
        <v>563</v>
      </c>
    </row>
    <row r="66" spans="2:10" x14ac:dyDescent="0.2">
      <c r="B66" s="99"/>
      <c r="C66" s="99"/>
      <c r="D66" s="99"/>
      <c r="E66" s="99"/>
      <c r="F66" s="99"/>
      <c r="G66" s="99"/>
      <c r="H66" s="99"/>
      <c r="I66" s="99"/>
      <c r="J66" s="99"/>
    </row>
    <row r="68" spans="2:10" x14ac:dyDescent="0.2">
      <c r="H68" s="94"/>
    </row>
    <row r="69" spans="2:10" x14ac:dyDescent="0.2">
      <c r="D69" s="190"/>
      <c r="H69" s="141"/>
    </row>
    <row r="70" spans="2:10" x14ac:dyDescent="0.2">
      <c r="G70" s="83"/>
    </row>
    <row r="71" spans="2:10" x14ac:dyDescent="0.2">
      <c r="H71" s="83"/>
    </row>
    <row r="72" spans="2:10" x14ac:dyDescent="0.2">
      <c r="G72" s="83"/>
    </row>
    <row r="73" spans="2:10" x14ac:dyDescent="0.2">
      <c r="B73" s="83"/>
      <c r="G73" s="150" t="str">
        <f>A28</f>
        <v>c8.25</v>
      </c>
      <c r="H73" s="282">
        <v>0</v>
      </c>
    </row>
    <row r="76" spans="2:10" x14ac:dyDescent="0.2">
      <c r="E76" s="137"/>
      <c r="F76" s="285"/>
      <c r="G76" s="285"/>
      <c r="H76" s="272"/>
    </row>
    <row r="77" spans="2:10" x14ac:dyDescent="0.2">
      <c r="E77" s="137"/>
      <c r="F77" s="285"/>
      <c r="G77" s="285"/>
      <c r="H77" s="286"/>
    </row>
    <row r="78" spans="2:10" ht="12" x14ac:dyDescent="0.25">
      <c r="B78" s="287" t="s">
        <v>591</v>
      </c>
      <c r="G78" s="150" t="str">
        <f>A29</f>
        <v>c8.26</v>
      </c>
      <c r="H78" s="282">
        <f>H16+H25+H34+H39+H45+H48+H51+H59+H62+H65+H73</f>
        <v>0</v>
      </c>
    </row>
    <row r="79" spans="2:10" x14ac:dyDescent="0.2">
      <c r="F79" s="190"/>
      <c r="H79" s="241"/>
    </row>
    <row r="80" spans="2:10" x14ac:dyDescent="0.2">
      <c r="B80" s="99"/>
      <c r="C80" s="99"/>
      <c r="D80" s="99"/>
      <c r="E80" s="99"/>
      <c r="F80" s="99"/>
      <c r="G80" s="99"/>
      <c r="H80" s="99"/>
      <c r="I80" s="99"/>
      <c r="J80" s="99"/>
    </row>
    <row r="82" spans="2:4" x14ac:dyDescent="0.2">
      <c r="D82" s="83"/>
    </row>
    <row r="87" spans="2:4" x14ac:dyDescent="0.2">
      <c r="B87" s="288" t="s">
        <v>465</v>
      </c>
      <c r="C87" s="238"/>
      <c r="D87" s="289" t="str">
        <f>IF(D25+D48+D62&gt;0,"Y","N")</f>
        <v>N</v>
      </c>
    </row>
    <row r="89" spans="2:4" x14ac:dyDescent="0.2">
      <c r="D89" s="83"/>
    </row>
    <row r="94" spans="2:4" x14ac:dyDescent="0.2">
      <c r="B94" s="288" t="s">
        <v>593</v>
      </c>
      <c r="C94" s="238"/>
      <c r="D94" s="289" t="str">
        <f>IF(D34+D51+D65&gt;0,"Y","N")</f>
        <v>N</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94"/>
  <sheetViews>
    <sheetView topLeftCell="B31" zoomScale="85" zoomScaleNormal="85" workbookViewId="0">
      <selection activeCell="H78" sqref="H78"/>
    </sheetView>
  </sheetViews>
  <sheetFormatPr defaultColWidth="9.109375" defaultRowHeight="11.4" x14ac:dyDescent="0.2"/>
  <cols>
    <col min="1" max="1" width="5.33203125" style="72" hidden="1" customWidth="1"/>
    <col min="2" max="2" width="15.88671875" style="72" customWidth="1"/>
    <col min="3" max="3" width="6.33203125" style="72" customWidth="1"/>
    <col min="4" max="4" width="13.33203125" style="72" customWidth="1"/>
    <col min="5" max="5" width="19" style="72" customWidth="1"/>
    <col min="6" max="7" width="6.33203125" style="72" customWidth="1"/>
    <col min="8" max="8" width="13.33203125" style="72" customWidth="1"/>
    <col min="9" max="9" width="5" style="72" customWidth="1"/>
    <col min="10" max="10" width="9.109375" style="72"/>
    <col min="11" max="11" width="4.88671875" style="72" customWidth="1"/>
    <col min="12" max="12" width="5.6640625" style="72" customWidth="1"/>
    <col min="13" max="14" width="9.109375" style="72"/>
    <col min="15" max="15" width="13.109375" style="72" customWidth="1"/>
    <col min="16" max="16384" width="9.109375" style="72"/>
  </cols>
  <sheetData>
    <row r="1" spans="1:15" ht="17.399999999999999" x14ac:dyDescent="0.3">
      <c r="B1" s="73" t="s">
        <v>559</v>
      </c>
      <c r="C1" s="101"/>
      <c r="J1" s="101"/>
      <c r="K1" s="190"/>
      <c r="L1" s="190"/>
      <c r="M1" s="190"/>
      <c r="N1" s="190"/>
      <c r="O1" s="101"/>
    </row>
    <row r="2" spans="1:15" x14ac:dyDescent="0.2">
      <c r="J2" s="101"/>
      <c r="K2" s="190"/>
      <c r="L2" s="190"/>
      <c r="M2" s="101"/>
      <c r="N2" s="101"/>
      <c r="O2" s="101"/>
    </row>
    <row r="3" spans="1:15" x14ac:dyDescent="0.2">
      <c r="E3" s="218" t="s">
        <v>333</v>
      </c>
      <c r="F3" s="219"/>
      <c r="G3" s="219"/>
      <c r="H3" s="220"/>
      <c r="K3" s="190"/>
      <c r="L3" s="190"/>
      <c r="M3" s="101"/>
      <c r="N3" s="190"/>
      <c r="O3" s="101"/>
    </row>
    <row r="4" spans="1:15" x14ac:dyDescent="0.2">
      <c r="A4" s="216" t="s">
        <v>561</v>
      </c>
      <c r="K4" s="190"/>
      <c r="L4" s="190"/>
      <c r="M4" s="101"/>
      <c r="N4" s="190"/>
      <c r="O4" s="101"/>
    </row>
    <row r="5" spans="1:15" x14ac:dyDescent="0.2">
      <c r="A5" s="216" t="s">
        <v>562</v>
      </c>
      <c r="B5" s="84" t="s">
        <v>608</v>
      </c>
      <c r="C5" s="84"/>
      <c r="D5" s="84"/>
      <c r="E5" s="84"/>
      <c r="K5" s="190"/>
      <c r="L5" s="190"/>
      <c r="M5" s="101"/>
      <c r="N5" s="190"/>
      <c r="O5" s="101"/>
    </row>
    <row r="6" spans="1:15" x14ac:dyDescent="0.2">
      <c r="A6" s="216" t="s">
        <v>564</v>
      </c>
      <c r="B6" s="84" t="s">
        <v>560</v>
      </c>
      <c r="C6" s="84"/>
      <c r="D6" s="84"/>
      <c r="K6" s="190"/>
      <c r="L6" s="190"/>
      <c r="M6" s="101"/>
      <c r="N6" s="190"/>
      <c r="O6" s="101"/>
    </row>
    <row r="7" spans="1:15" x14ac:dyDescent="0.2">
      <c r="A7" s="216" t="s">
        <v>565</v>
      </c>
      <c r="K7" s="190"/>
      <c r="L7" s="190"/>
      <c r="M7" s="101"/>
      <c r="N7" s="190"/>
      <c r="O7" s="101"/>
    </row>
    <row r="8" spans="1:15" ht="12" x14ac:dyDescent="0.25">
      <c r="A8" s="216" t="s">
        <v>566</v>
      </c>
      <c r="B8" s="181" t="s">
        <v>361</v>
      </c>
      <c r="J8" s="101"/>
      <c r="K8" s="190"/>
      <c r="L8" s="190"/>
      <c r="M8" s="101"/>
      <c r="N8" s="190"/>
      <c r="O8" s="101"/>
    </row>
    <row r="9" spans="1:15" x14ac:dyDescent="0.2">
      <c r="A9" s="216" t="s">
        <v>567</v>
      </c>
      <c r="F9" s="84"/>
      <c r="G9" s="84"/>
      <c r="H9" s="86"/>
      <c r="J9" s="101"/>
      <c r="K9" s="190"/>
    </row>
    <row r="10" spans="1:15" x14ac:dyDescent="0.2">
      <c r="A10" s="216" t="s">
        <v>569</v>
      </c>
      <c r="F10" s="126"/>
      <c r="G10" s="126"/>
      <c r="H10" s="110"/>
      <c r="K10" s="190"/>
    </row>
    <row r="11" spans="1:15" x14ac:dyDescent="0.2">
      <c r="A11" s="216" t="s">
        <v>570</v>
      </c>
      <c r="F11" s="84"/>
      <c r="G11" s="84"/>
      <c r="H11" s="86"/>
      <c r="K11" s="190"/>
    </row>
    <row r="12" spans="1:15" x14ac:dyDescent="0.2">
      <c r="A12" s="216" t="s">
        <v>572</v>
      </c>
      <c r="F12" s="84"/>
      <c r="G12" s="84"/>
      <c r="H12" s="84"/>
      <c r="K12" s="190"/>
    </row>
    <row r="13" spans="1:15" x14ac:dyDescent="0.2">
      <c r="A13" s="216" t="s">
        <v>573</v>
      </c>
      <c r="F13" s="84"/>
      <c r="G13" s="84"/>
      <c r="H13" s="263"/>
      <c r="K13" s="190"/>
      <c r="L13" s="190"/>
      <c r="M13" s="101"/>
      <c r="N13" s="190"/>
      <c r="O13" s="190"/>
    </row>
    <row r="14" spans="1:15" x14ac:dyDescent="0.2">
      <c r="A14" s="216" t="s">
        <v>574</v>
      </c>
      <c r="F14" s="257"/>
      <c r="G14" s="84"/>
      <c r="H14" s="279"/>
      <c r="K14" s="190"/>
    </row>
    <row r="15" spans="1:15" x14ac:dyDescent="0.2">
      <c r="A15" s="216" t="s">
        <v>575</v>
      </c>
      <c r="C15" s="257"/>
      <c r="D15" s="245"/>
      <c r="E15" s="101"/>
      <c r="F15" s="280"/>
      <c r="G15" s="206"/>
      <c r="H15" s="206"/>
      <c r="I15" s="190"/>
    </row>
    <row r="16" spans="1:15" x14ac:dyDescent="0.2">
      <c r="A16" s="216" t="s">
        <v>576</v>
      </c>
      <c r="B16" s="281" t="s">
        <v>404</v>
      </c>
      <c r="C16" s="238" t="str">
        <f>A4</f>
        <v>c8.1</v>
      </c>
      <c r="D16" s="96">
        <f>'HMRC Stage 6'!G24+'HMRC Stage 6'!G42+'HMRC Stage 6'!S24+'HMRC Stage 6'!S42</f>
        <v>0</v>
      </c>
      <c r="F16" s="101"/>
      <c r="G16" s="238" t="str">
        <f>A5</f>
        <v>c8.2</v>
      </c>
      <c r="H16" s="282">
        <f>TRUNC(D16*BR_rate,2)</f>
        <v>0</v>
      </c>
      <c r="I16" s="283" t="s">
        <v>563</v>
      </c>
      <c r="J16" s="101"/>
    </row>
    <row r="17" spans="1:15" x14ac:dyDescent="0.2">
      <c r="A17" s="216" t="s">
        <v>577</v>
      </c>
      <c r="J17" s="101"/>
    </row>
    <row r="18" spans="1:15" x14ac:dyDescent="0.2">
      <c r="A18" s="216" t="s">
        <v>578</v>
      </c>
      <c r="B18" s="190"/>
      <c r="F18" s="84"/>
      <c r="G18" s="84"/>
      <c r="H18" s="86"/>
      <c r="I18" s="190"/>
      <c r="J18" s="101"/>
    </row>
    <row r="19" spans="1:15" x14ac:dyDescent="0.2">
      <c r="A19" s="216" t="s">
        <v>579</v>
      </c>
      <c r="F19" s="126"/>
      <c r="G19" s="126"/>
      <c r="H19" s="110"/>
    </row>
    <row r="20" spans="1:15" x14ac:dyDescent="0.2">
      <c r="A20" s="216" t="s">
        <v>581</v>
      </c>
      <c r="F20" s="84"/>
      <c r="G20" s="84"/>
      <c r="H20" s="86"/>
    </row>
    <row r="21" spans="1:15" x14ac:dyDescent="0.2">
      <c r="A21" s="216" t="s">
        <v>582</v>
      </c>
      <c r="F21" s="84"/>
      <c r="G21" s="84"/>
      <c r="H21" s="84"/>
    </row>
    <row r="22" spans="1:15" x14ac:dyDescent="0.2">
      <c r="A22" s="216" t="s">
        <v>583</v>
      </c>
      <c r="F22" s="84"/>
      <c r="G22" s="84"/>
      <c r="H22" s="263"/>
    </row>
    <row r="23" spans="1:15" x14ac:dyDescent="0.2">
      <c r="A23" s="216" t="s">
        <v>584</v>
      </c>
      <c r="F23" s="257"/>
      <c r="G23" s="84"/>
      <c r="H23" s="279"/>
    </row>
    <row r="24" spans="1:15" x14ac:dyDescent="0.2">
      <c r="A24" s="216" t="s">
        <v>585</v>
      </c>
      <c r="C24" s="101"/>
      <c r="D24" s="245"/>
      <c r="F24" s="280"/>
      <c r="G24" s="206"/>
      <c r="H24" s="206"/>
      <c r="I24" s="190"/>
    </row>
    <row r="25" spans="1:15" x14ac:dyDescent="0.2">
      <c r="A25" s="216" t="s">
        <v>586</v>
      </c>
      <c r="B25" s="281" t="s">
        <v>403</v>
      </c>
      <c r="C25" s="238" t="str">
        <f>A6</f>
        <v>c8.3</v>
      </c>
      <c r="D25" s="96">
        <f>'HMRC Stage 6'!G52+'HMRC Stage 6'!S52</f>
        <v>0</v>
      </c>
      <c r="F25" s="101"/>
      <c r="G25" s="238" t="str">
        <f>A7</f>
        <v>c8.4</v>
      </c>
      <c r="H25" s="282">
        <f>TRUNC(D25*HR_rate,2)</f>
        <v>0</v>
      </c>
      <c r="I25" s="283" t="s">
        <v>563</v>
      </c>
      <c r="J25" s="101"/>
    </row>
    <row r="26" spans="1:15" x14ac:dyDescent="0.2">
      <c r="A26" s="216" t="s">
        <v>587</v>
      </c>
      <c r="J26" s="190"/>
    </row>
    <row r="27" spans="1:15" x14ac:dyDescent="0.2">
      <c r="A27" s="216" t="s">
        <v>588</v>
      </c>
      <c r="C27" s="284"/>
      <c r="D27" s="120"/>
      <c r="F27" s="257"/>
      <c r="G27" s="84"/>
      <c r="H27" s="86"/>
      <c r="I27" s="190"/>
      <c r="J27" s="190"/>
    </row>
    <row r="28" spans="1:15" x14ac:dyDescent="0.2">
      <c r="A28" s="216" t="s">
        <v>590</v>
      </c>
      <c r="F28" s="126"/>
      <c r="G28" s="126"/>
      <c r="H28" s="110"/>
    </row>
    <row r="29" spans="1:15" x14ac:dyDescent="0.2">
      <c r="A29" s="216" t="s">
        <v>592</v>
      </c>
      <c r="F29" s="84"/>
      <c r="G29" s="84"/>
      <c r="H29" s="86"/>
    </row>
    <row r="30" spans="1:15" x14ac:dyDescent="0.2">
      <c r="F30" s="84"/>
      <c r="G30" s="84"/>
      <c r="H30" s="84"/>
      <c r="K30" s="190"/>
      <c r="O30" s="101"/>
    </row>
    <row r="31" spans="1:15" x14ac:dyDescent="0.2">
      <c r="F31" s="84"/>
      <c r="G31" s="84"/>
      <c r="H31" s="263"/>
      <c r="K31" s="190"/>
      <c r="L31" s="190"/>
      <c r="M31" s="190"/>
      <c r="N31" s="190"/>
      <c r="O31" s="101"/>
    </row>
    <row r="32" spans="1:15" ht="12" x14ac:dyDescent="0.25">
      <c r="F32" s="257"/>
      <c r="G32" s="84"/>
      <c r="H32" s="279"/>
      <c r="K32" s="190"/>
      <c r="L32" s="190"/>
      <c r="M32" s="190"/>
      <c r="N32" s="190"/>
      <c r="O32" s="234"/>
    </row>
    <row r="33" spans="2:10" x14ac:dyDescent="0.2">
      <c r="C33" s="284"/>
      <c r="D33" s="245"/>
      <c r="F33" s="280"/>
      <c r="G33" s="206"/>
      <c r="H33" s="206"/>
      <c r="I33" s="190"/>
      <c r="J33" s="190"/>
    </row>
    <row r="34" spans="2:10" x14ac:dyDescent="0.2">
      <c r="B34" s="281" t="s">
        <v>402</v>
      </c>
      <c r="C34" s="238" t="str">
        <f>A8</f>
        <v>c8.5</v>
      </c>
      <c r="D34" s="96">
        <f>'HMRC Stage 6'!G55+'HMRC Stage 6'!S55</f>
        <v>0</v>
      </c>
      <c r="F34" s="101"/>
      <c r="G34" s="238" t="str">
        <f>A9</f>
        <v>c8.6</v>
      </c>
      <c r="H34" s="282">
        <f>TRUNC(D34*AHR_rate,2)</f>
        <v>0</v>
      </c>
      <c r="I34" s="283" t="s">
        <v>563</v>
      </c>
      <c r="J34" s="190"/>
    </row>
    <row r="35" spans="2:10" x14ac:dyDescent="0.2">
      <c r="B35" s="99"/>
      <c r="C35" s="99"/>
      <c r="D35" s="99"/>
      <c r="E35" s="99"/>
      <c r="F35" s="99"/>
      <c r="G35" s="99"/>
      <c r="H35" s="99"/>
      <c r="I35" s="99"/>
      <c r="J35" s="99"/>
    </row>
    <row r="36" spans="2:10" x14ac:dyDescent="0.2">
      <c r="I36" s="190"/>
      <c r="J36" s="101"/>
    </row>
    <row r="37" spans="2:10" ht="12" x14ac:dyDescent="0.25">
      <c r="B37" s="181" t="s">
        <v>385</v>
      </c>
      <c r="C37" s="190"/>
      <c r="D37" s="104"/>
      <c r="E37" s="190"/>
      <c r="F37" s="101"/>
      <c r="G37" s="190"/>
      <c r="H37" s="190"/>
      <c r="I37" s="190"/>
      <c r="J37" s="101"/>
    </row>
    <row r="38" spans="2:10" x14ac:dyDescent="0.2">
      <c r="B38" s="101"/>
      <c r="C38" s="190"/>
      <c r="D38" s="245"/>
      <c r="E38" s="101"/>
      <c r="F38" s="101"/>
      <c r="G38" s="190"/>
      <c r="H38" s="241"/>
      <c r="I38" s="190"/>
      <c r="J38" s="190"/>
    </row>
    <row r="39" spans="2:10" x14ac:dyDescent="0.2">
      <c r="B39" s="281" t="s">
        <v>568</v>
      </c>
      <c r="C39" s="238" t="str">
        <f>A10</f>
        <v>c8.7</v>
      </c>
      <c r="D39" s="133">
        <f>('HMRC Stage 6'!K24+'HMRC Stage 6'!W24)</f>
        <v>0</v>
      </c>
      <c r="F39" s="101"/>
      <c r="G39" s="238" t="str">
        <f>A11</f>
        <v>c8.8</v>
      </c>
      <c r="H39" s="282">
        <f>TRUNC(D39*SR_rate,2)</f>
        <v>0</v>
      </c>
      <c r="I39" s="283" t="s">
        <v>563</v>
      </c>
      <c r="J39" s="101"/>
    </row>
    <row r="40" spans="2:10" x14ac:dyDescent="0.2">
      <c r="B40" s="190"/>
      <c r="C40" s="101"/>
      <c r="D40" s="104"/>
      <c r="E40" s="101"/>
      <c r="F40" s="101"/>
      <c r="I40" s="190"/>
      <c r="J40" s="190"/>
    </row>
    <row r="41" spans="2:10" x14ac:dyDescent="0.2">
      <c r="C41" s="137"/>
      <c r="D41" s="167"/>
      <c r="G41" s="137"/>
      <c r="H41" s="141"/>
    </row>
    <row r="42" spans="2:10" x14ac:dyDescent="0.2">
      <c r="B42" s="281" t="s">
        <v>571</v>
      </c>
      <c r="C42" s="150" t="str">
        <f>A12</f>
        <v>c8.9</v>
      </c>
      <c r="D42" s="133">
        <f>'HMRC Stage 6'!K38+'HMRC Stage 6'!W38</f>
        <v>0</v>
      </c>
      <c r="G42" s="150" t="str">
        <f>A13</f>
        <v>c8.10</v>
      </c>
      <c r="H42" s="282">
        <f>TRUNC(D42*SNil_rate,2)</f>
        <v>0</v>
      </c>
    </row>
    <row r="44" spans="2:10" x14ac:dyDescent="0.2">
      <c r="B44" s="190"/>
      <c r="C44" s="190"/>
      <c r="D44" s="245"/>
      <c r="E44" s="190"/>
      <c r="F44" s="190"/>
      <c r="G44" s="285"/>
      <c r="H44" s="241"/>
      <c r="I44" s="190"/>
      <c r="J44" s="190"/>
    </row>
    <row r="45" spans="2:10" x14ac:dyDescent="0.2">
      <c r="B45" s="281" t="s">
        <v>404</v>
      </c>
      <c r="C45" s="150" t="str">
        <f>A14</f>
        <v>c8.11</v>
      </c>
      <c r="D45" s="133">
        <f>'HMRC Stage 6'!K42+'HMRC Stage 6'!W42</f>
        <v>0</v>
      </c>
      <c r="F45" s="101"/>
      <c r="G45" s="150" t="str">
        <f>A15</f>
        <v>c8.12</v>
      </c>
      <c r="H45" s="282">
        <f>TRUNC(D45*BR_rate,2)</f>
        <v>0</v>
      </c>
      <c r="I45" s="283" t="s">
        <v>563</v>
      </c>
      <c r="J45" s="190"/>
    </row>
    <row r="46" spans="2:10" x14ac:dyDescent="0.2">
      <c r="B46" s="190"/>
      <c r="F46" s="190"/>
      <c r="I46" s="190"/>
      <c r="J46" s="190"/>
    </row>
    <row r="47" spans="2:10" ht="12" x14ac:dyDescent="0.25">
      <c r="B47" s="181"/>
      <c r="C47" s="190"/>
      <c r="D47" s="245"/>
      <c r="F47" s="190"/>
      <c r="G47" s="285"/>
      <c r="H47" s="241"/>
      <c r="J47" s="190"/>
    </row>
    <row r="48" spans="2:10" x14ac:dyDescent="0.2">
      <c r="B48" s="281" t="s">
        <v>403</v>
      </c>
      <c r="C48" s="150" t="str">
        <f>A16</f>
        <v>c8.13</v>
      </c>
      <c r="D48" s="96">
        <f>'HMRC Stage 6'!K52+'HMRC Stage 6'!W52</f>
        <v>0</v>
      </c>
      <c r="F48" s="101"/>
      <c r="G48" s="150" t="str">
        <f>A17</f>
        <v>c8.14</v>
      </c>
      <c r="H48" s="282">
        <f>TRUNC(D48*HR_rate,2)</f>
        <v>0</v>
      </c>
      <c r="I48" s="283" t="s">
        <v>563</v>
      </c>
      <c r="J48" s="190"/>
    </row>
    <row r="49" spans="2:10" x14ac:dyDescent="0.2">
      <c r="B49" s="101"/>
      <c r="C49" s="284"/>
      <c r="D49" s="120"/>
      <c r="F49" s="101"/>
      <c r="H49" s="101"/>
      <c r="J49" s="190"/>
    </row>
    <row r="50" spans="2:10" x14ac:dyDescent="0.2">
      <c r="B50" s="101"/>
      <c r="D50" s="245"/>
      <c r="F50" s="101"/>
      <c r="G50" s="281"/>
      <c r="H50" s="241"/>
      <c r="J50" s="190"/>
    </row>
    <row r="51" spans="2:10" x14ac:dyDescent="0.2">
      <c r="B51" s="281" t="s">
        <v>402</v>
      </c>
      <c r="C51" s="150" t="str">
        <f>A18</f>
        <v>c8.15</v>
      </c>
      <c r="D51" s="96">
        <f>'HMRC Stage 6'!K55+'HMRC Stage 6'!W55</f>
        <v>0</v>
      </c>
      <c r="F51" s="101"/>
      <c r="G51" s="150" t="str">
        <f>A19</f>
        <v>c8.16</v>
      </c>
      <c r="H51" s="282">
        <f>TRUNC(D51*AHR_rate,2)</f>
        <v>0</v>
      </c>
      <c r="I51" s="283" t="s">
        <v>563</v>
      </c>
      <c r="J51" s="190"/>
    </row>
    <row r="52" spans="2:10" x14ac:dyDescent="0.2">
      <c r="B52" s="99"/>
      <c r="C52" s="99"/>
      <c r="D52" s="99"/>
      <c r="E52" s="99"/>
      <c r="F52" s="99"/>
      <c r="G52" s="99"/>
      <c r="H52" s="99"/>
      <c r="I52" s="99"/>
      <c r="J52" s="99"/>
    </row>
    <row r="53" spans="2:10" x14ac:dyDescent="0.2">
      <c r="J53" s="190"/>
    </row>
    <row r="54" spans="2:10" ht="12" x14ac:dyDescent="0.25">
      <c r="B54" s="181" t="s">
        <v>580</v>
      </c>
      <c r="C54" s="101"/>
      <c r="D54" s="190"/>
      <c r="E54" s="190"/>
      <c r="F54" s="190"/>
      <c r="G54" s="190"/>
      <c r="H54" s="190"/>
      <c r="J54" s="190"/>
    </row>
    <row r="55" spans="2:10" x14ac:dyDescent="0.2">
      <c r="C55" s="137"/>
      <c r="D55" s="141"/>
      <c r="G55" s="137"/>
      <c r="H55" s="141"/>
    </row>
    <row r="56" spans="2:10" x14ac:dyDescent="0.2">
      <c r="B56" s="281" t="s">
        <v>571</v>
      </c>
      <c r="C56" s="150" t="str">
        <f>A20</f>
        <v>c8.17</v>
      </c>
      <c r="D56" s="96">
        <f>'HMRC Stage 6'!O38</f>
        <v>0</v>
      </c>
      <c r="G56" s="150" t="str">
        <f>A21</f>
        <v>c8.18</v>
      </c>
      <c r="H56" s="282">
        <f>TRUNC(D56*DivNil_rate,2)</f>
        <v>0</v>
      </c>
    </row>
    <row r="58" spans="2:10" x14ac:dyDescent="0.2">
      <c r="B58" s="190"/>
      <c r="C58" s="101"/>
      <c r="D58" s="267"/>
      <c r="E58" s="190"/>
      <c r="F58" s="190"/>
      <c r="G58" s="285"/>
      <c r="H58" s="263"/>
      <c r="J58" s="190"/>
    </row>
    <row r="59" spans="2:10" x14ac:dyDescent="0.2">
      <c r="B59" s="281" t="s">
        <v>404</v>
      </c>
      <c r="C59" s="150" t="str">
        <f xml:space="preserve"> A22</f>
        <v>c8.19</v>
      </c>
      <c r="D59" s="96">
        <f>'HMRC Stage 6'!O42</f>
        <v>0</v>
      </c>
      <c r="F59" s="101"/>
      <c r="G59" s="150" t="str">
        <f>A23</f>
        <v>c8.20</v>
      </c>
      <c r="H59" s="282">
        <f>TRUNC(D59*DivBR_rate,2)</f>
        <v>0</v>
      </c>
      <c r="I59" s="283" t="s">
        <v>563</v>
      </c>
      <c r="J59" s="190"/>
    </row>
    <row r="60" spans="2:10" x14ac:dyDescent="0.2">
      <c r="B60" s="190"/>
      <c r="C60" s="190"/>
      <c r="D60" s="190"/>
      <c r="E60" s="190"/>
      <c r="F60" s="190"/>
      <c r="G60" s="190"/>
      <c r="H60" s="190"/>
      <c r="J60" s="190"/>
    </row>
    <row r="61" spans="2:10" ht="12" x14ac:dyDescent="0.25">
      <c r="B61" s="181"/>
      <c r="C61" s="101"/>
      <c r="D61" s="104"/>
      <c r="E61" s="190"/>
      <c r="F61" s="190"/>
      <c r="G61" s="285"/>
      <c r="H61" s="263"/>
    </row>
    <row r="62" spans="2:10" x14ac:dyDescent="0.2">
      <c r="B62" s="281" t="s">
        <v>403</v>
      </c>
      <c r="C62" s="150" t="str">
        <f>A24</f>
        <v>c8.21</v>
      </c>
      <c r="D62" s="133">
        <f>'HMRC Stage 6'!O52</f>
        <v>0</v>
      </c>
      <c r="F62" s="101"/>
      <c r="G62" s="150" t="str">
        <f>A25</f>
        <v>c8.22</v>
      </c>
      <c r="H62" s="282">
        <f>TRUNC(D62*DivHR_rate,2)</f>
        <v>0</v>
      </c>
      <c r="I62" s="283" t="s">
        <v>563</v>
      </c>
    </row>
    <row r="63" spans="2:10" x14ac:dyDescent="0.2">
      <c r="B63" s="101"/>
    </row>
    <row r="64" spans="2:10" x14ac:dyDescent="0.2">
      <c r="B64" s="101"/>
      <c r="D64" s="104"/>
      <c r="G64" s="285"/>
      <c r="H64" s="263"/>
    </row>
    <row r="65" spans="2:10" x14ac:dyDescent="0.2">
      <c r="B65" s="281" t="s">
        <v>402</v>
      </c>
      <c r="C65" s="150" t="str">
        <f>A26</f>
        <v>c8.23</v>
      </c>
      <c r="D65" s="133">
        <f>'HMRC Stage 6'!O55</f>
        <v>0</v>
      </c>
      <c r="G65" s="150" t="str">
        <f>A27</f>
        <v>c8.24</v>
      </c>
      <c r="H65" s="282">
        <f>TRUNC(D65*DivAR_rate,2)</f>
        <v>0</v>
      </c>
      <c r="I65" s="283" t="s">
        <v>563</v>
      </c>
    </row>
    <row r="66" spans="2:10" x14ac:dyDescent="0.2">
      <c r="B66" s="99"/>
      <c r="C66" s="99"/>
      <c r="D66" s="99"/>
      <c r="E66" s="99"/>
      <c r="F66" s="99"/>
      <c r="G66" s="99"/>
      <c r="H66" s="99"/>
      <c r="I66" s="99"/>
      <c r="J66" s="99"/>
    </row>
    <row r="68" spans="2:10" x14ac:dyDescent="0.2">
      <c r="H68" s="94"/>
    </row>
    <row r="69" spans="2:10" x14ac:dyDescent="0.2">
      <c r="D69" s="190"/>
      <c r="H69" s="141"/>
    </row>
    <row r="70" spans="2:10" x14ac:dyDescent="0.2">
      <c r="G70" s="83"/>
    </row>
    <row r="71" spans="2:10" x14ac:dyDescent="0.2">
      <c r="H71" s="83"/>
    </row>
    <row r="72" spans="2:10" x14ac:dyDescent="0.2">
      <c r="G72" s="83"/>
    </row>
    <row r="73" spans="2:10" x14ac:dyDescent="0.2">
      <c r="B73" s="83" t="s">
        <v>589</v>
      </c>
      <c r="G73" s="150" t="str">
        <f>A28</f>
        <v>c8.25</v>
      </c>
      <c r="H73" s="282">
        <v>0</v>
      </c>
    </row>
    <row r="76" spans="2:10" x14ac:dyDescent="0.2">
      <c r="E76" s="137"/>
      <c r="F76" s="285"/>
      <c r="G76" s="285"/>
      <c r="H76" s="272"/>
    </row>
    <row r="77" spans="2:10" x14ac:dyDescent="0.2">
      <c r="E77" s="137"/>
      <c r="F77" s="285"/>
      <c r="G77" s="285"/>
      <c r="H77" s="286"/>
    </row>
    <row r="78" spans="2:10" ht="12" x14ac:dyDescent="0.25">
      <c r="B78" s="287" t="s">
        <v>591</v>
      </c>
      <c r="G78" s="150" t="str">
        <f>A29</f>
        <v>c8.26</v>
      </c>
      <c r="H78" s="282">
        <f>H16+H25+H34+H39+H45+H48+H51+H59+H62+H65+H73</f>
        <v>0</v>
      </c>
    </row>
    <row r="79" spans="2:10" x14ac:dyDescent="0.2">
      <c r="F79" s="190"/>
      <c r="H79" s="241"/>
    </row>
    <row r="80" spans="2:10" x14ac:dyDescent="0.2">
      <c r="B80" s="99"/>
      <c r="C80" s="99"/>
      <c r="D80" s="99"/>
      <c r="E80" s="99"/>
      <c r="F80" s="99"/>
      <c r="G80" s="99"/>
      <c r="H80" s="99"/>
      <c r="I80" s="99"/>
      <c r="J80" s="99"/>
    </row>
    <row r="82" spans="2:4" x14ac:dyDescent="0.2">
      <c r="D82" s="83"/>
    </row>
    <row r="87" spans="2:4" x14ac:dyDescent="0.2">
      <c r="B87" s="288" t="s">
        <v>465</v>
      </c>
      <c r="C87" s="238"/>
      <c r="D87" s="289" t="str">
        <f>IF(D25+D48+D62&gt;0,"Y","N")</f>
        <v>N</v>
      </c>
    </row>
    <row r="89" spans="2:4" x14ac:dyDescent="0.2">
      <c r="D89" s="83"/>
    </row>
    <row r="94" spans="2:4" x14ac:dyDescent="0.2">
      <c r="B94" s="288" t="s">
        <v>593</v>
      </c>
      <c r="C94" s="238"/>
      <c r="D94" s="289" t="str">
        <f>IF(D34+D51+D65&gt;0,"Y","N")</f>
        <v>N</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Tax Calculation</vt:lpstr>
      <vt:lpstr>Rates and Bands</vt:lpstr>
      <vt:lpstr>Initial calcs</vt:lpstr>
      <vt:lpstr>Stage 4</vt:lpstr>
      <vt:lpstr>Stage 5</vt:lpstr>
      <vt:lpstr>IRIS Stage 6</vt:lpstr>
      <vt:lpstr>HMRC Stage 6</vt:lpstr>
      <vt:lpstr>IRIS Stage 8</vt:lpstr>
      <vt:lpstr>HMRC Stage 8</vt:lpstr>
      <vt:lpstr>AHR_case_PSA</vt:lpstr>
      <vt:lpstr>HR_case_PSA</vt:lpstr>
      <vt:lpstr>'Tax Calculation'!Print_Area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Deverell</dc:creator>
  <cp:lastModifiedBy>Sean Deverell</cp:lastModifiedBy>
  <cp:lastPrinted>2017-04-24T14:20:53Z</cp:lastPrinted>
  <dcterms:created xsi:type="dcterms:W3CDTF">2017-03-31T18:25:56Z</dcterms:created>
  <dcterms:modified xsi:type="dcterms:W3CDTF">2017-04-24T14:22:22Z</dcterms:modified>
</cp:coreProperties>
</file>